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0"/>
  </bookViews>
  <sheets>
    <sheet name="2015" sheetId="1" r:id="rId1"/>
    <sheet name="Программа" sheetId="2" state="hidden" r:id="rId2"/>
    <sheet name="замена" sheetId="3" state="hidden" r:id="rId3"/>
    <sheet name="Лист2" sheetId="4" state="hidden" r:id="rId4"/>
  </sheets>
  <definedNames>
    <definedName name="_xlnm.Print_Titles" localSheetId="0">'2015'!$A:$A,'2015'!$5:$7</definedName>
    <definedName name="_xlnm.Print_Area" localSheetId="0">'2015'!$A$1:$AF$89</definedName>
  </definedNames>
  <calcPr fullCalcOnLoad="1"/>
</workbook>
</file>

<file path=xl/sharedStrings.xml><?xml version="1.0" encoding="utf-8"?>
<sst xmlns="http://schemas.openxmlformats.org/spreadsheetml/2006/main" count="544" uniqueCount="173">
  <si>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</si>
  <si>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</si>
  <si>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</si>
  <si>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</si>
  <si>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</si>
  <si>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</si>
  <si>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</si>
  <si>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</si>
  <si>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</si>
  <si>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</si>
  <si>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</si>
  <si>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</si>
  <si>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</si>
  <si>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</si>
  <si>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</si>
  <si>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</si>
  <si>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</si>
  <si>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</si>
  <si>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</si>
  <si>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</si>
  <si>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</si>
  <si>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</si>
  <si>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</si>
  <si>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</si>
  <si>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</si>
  <si>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</si>
  <si>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</si>
  <si>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</si>
  <si>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Всего</t>
  </si>
  <si>
    <t>Итого по программе, в том числе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</si>
  <si>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</si>
  <si>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</si>
  <si>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</si>
  <si>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</si>
  <si>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</si>
  <si>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</si>
  <si>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</si>
  <si>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</si>
  <si>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</si>
  <si>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</si>
  <si>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</si>
  <si>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</si>
  <si>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</si>
  <si>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</si>
  <si>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</si>
  <si>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</si>
  <si>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</si>
  <si>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</si>
  <si>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</si>
  <si>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</si>
  <si>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</si>
  <si>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</si>
  <si>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</si>
  <si>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</si>
  <si>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</si>
  <si>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</si>
  <si>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</si>
  <si>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</si>
  <si>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</si>
  <si>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</si>
  <si>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</si>
  <si>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</si>
  <si>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</si>
  <si>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</si>
  <si>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</si>
  <si>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</si>
  <si>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</si>
  <si>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</si>
  <si>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</si>
  <si>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</si>
  <si>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</si>
  <si>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</si>
  <si>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</si>
  <si>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</si>
  <si>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</si>
  <si>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</si>
  <si>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</si>
  <si>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</si>
  <si>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</si>
  <si>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</si>
  <si>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</si>
  <si>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</si>
  <si>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</si>
  <si>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</si>
  <si>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</si>
  <si>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</si>
  <si>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</si>
  <si>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</si>
  <si>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</si>
  <si>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</si>
  <si>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</si>
  <si>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</si>
  <si>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</si>
  <si>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</si>
  <si>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</si>
  <si>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</si>
  <si>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</si>
  <si>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</si>
  <si>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</si>
  <si>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</si>
  <si>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</si>
  <si>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</si>
  <si>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</si>
  <si>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</si>
  <si>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</si>
  <si>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</si>
  <si>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</si>
  <si>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</si>
  <si>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</si>
  <si>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</si>
  <si>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</si>
  <si>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</si>
  <si>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</si>
  <si>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</si>
  <si>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</si>
  <si>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</si>
  <si>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</si>
  <si>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</si>
  <si>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</si>
  <si>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</si>
  <si>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</si>
  <si>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</si>
  <si>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</si>
  <si>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</si>
  <si>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</si>
  <si>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</si>
  <si>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</si>
  <si>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</si>
  <si>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</si>
  <si>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</si>
  <si>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</si>
  <si>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</si>
  <si>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</si>
  <si>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</si>
  <si>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</si>
  <si>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</si>
  <si>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</si>
  <si>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</si>
  <si>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</si>
  <si>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</si>
  <si>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</si>
  <si>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</si>
  <si>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</si>
  <si>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</si>
  <si>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</si>
  <si>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>Профинансировано на отчетную дату</t>
  </si>
  <si>
    <t>Начальник управления экономики Администрации города Когалыма</t>
  </si>
  <si>
    <t>Е.Г.Загорская</t>
  </si>
  <si>
    <t>2.1. "Содействие трудоустройству незанятых одиноких родителей, родителей, воспитывающих детей-инвалидов, многодетных родителей"</t>
  </si>
  <si>
    <r>
      <t xml:space="preserve">1.1.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</si>
  <si>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r>
      <t xml:space="preserve">Задача 2 </t>
    </r>
    <r>
      <rPr>
        <sz val="14"/>
        <rFont val="Times New Roman"/>
        <family val="1"/>
      </rPr>
      <t>"</t>
    </r>
    <r>
      <rPr>
        <b/>
        <sz val="14"/>
        <rFont val="Times New Roman"/>
        <family val="1"/>
      </rPr>
      <t>Содействие трудоустройству незанятых одиноких родителей, родителей, воспитывающих детей-инвалидов, многодетных родителей"</t>
    </r>
  </si>
  <si>
    <t>Задача 1 "Содействие трудоустройству незанятых инвалидов, создание условий для профессионального образования инвалидов"</t>
  </si>
  <si>
    <t xml:space="preserve">федеральный бюджет </t>
  </si>
  <si>
    <t>ИТОГО (ФЕНИКС)</t>
  </si>
  <si>
    <t>Задача  1 "Совершенствование государственного управления охраной труда в городе Когалыме в рамках переданных полномочий"</t>
  </si>
  <si>
    <t>1.1. "Проведение семинара по вопросам методического руководства служб охраны труда в организациях, расположенных в городе Когалыме"</t>
  </si>
  <si>
    <t>1.2.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</si>
  <si>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1.3.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</si>
  <si>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1.4.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</si>
  <si>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2 "Снижение уровня производственного травматизма, улучшение условий труда"</t>
  </si>
  <si>
    <t>2.1. "Организация проведения заседаний Межведомственной комиссии по охране труда в городе Когалыме"</t>
  </si>
  <si>
    <t>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</si>
  <si>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Мартынова Снежана Владимировна, тел. 93-785</t>
  </si>
  <si>
    <t>План на 2015 год</t>
  </si>
  <si>
    <t>Муниципальная программа "Содействие занятости населения города Когалыма на 2014-2017 годы"</t>
  </si>
  <si>
    <t>Разработан проект постановления о проведении 1 муниципального этапа конкурса и о конкурсной комиссии</t>
  </si>
  <si>
    <t>В конце января месяца 2015 года заключен договор "О совместной деятельности по организации временного трудоустройства граждан" с КУ ХМАО-Югры "Когалымский центр занятости". Освоение средств запланировано на июнь 2015 года. Принято 605 заявлений от несовершеннолетних граждан и их законных представителей.</t>
  </si>
  <si>
    <t>Поступило 10 заявок от учреждений и организаций города о потребности в рабочей силе из них 2 учреждения отказались с 8 учреждениями заключены договора о сотрудничестве. С несовершеннолетними гражданами и их законными представителями заключено 14 срочных трудовых договоров по специальности "Оператор ЭВМ".  По состоянию на 01.04.2015 года не освоены средства в размере 81,76 тыс.руб. в связи с тем, что договор с КУ ХМАО-Югры "Когалымский центр занятости" заключен в конце  января 2015 года. Денежные средства будут освоены в апреле 2015 года после подписания акта-выполненных работ.</t>
  </si>
  <si>
    <t>Принято 4 заявления от несовершеннолетних граждан из числа желающих трудоустроиться. С 3 учреждениями заключены договора о сотрудничестве. Заключено 4 срочных трудовых договора с несовершеннолетними. На 01.04.2015 года не освоены средства в размере 101,75 тыс.руб. в связи с тем, что договор с КУ ХМАО-Югры "Когалымский центр занятости" заключен в конце  января 2015 года. Денежные средства будут освоены в апреле 2015 года после подписания акта-выполненных работ.</t>
  </si>
  <si>
    <t>Заключено 7 договоров из числа желающих трудоустроиться на летний период.</t>
  </si>
  <si>
    <t>С начала года оказано 619 консультаций несовершеннолетним гражданам.</t>
  </si>
  <si>
    <t>Заключено 7 договоров "О совместной деятельности по организации временного трудоустройства граждан"с учреждениями участвующими в мероприятии и КУ ХМАО-Югры "Когалымский центр занятости населения", трудоустроено 87 человек. На 01.04.2015 года не освоено 154,56 тыс. рублей, освоение  средств планируется в апреле 2015 года после подписания актов выполненных работ.</t>
  </si>
  <si>
    <t xml:space="preserve">На 01.04.2015 года не освоение (от профинансированных) средств составляет 26,42 тыс. руб. в связи стем, что фактическая сумма выставленная поставщиками по услугам меньше планов (по услугам связи, расходов на содержание имущества).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</si>
</sst>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6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4" fontId="66" fillId="0" borderId="0" xfId="0" applyNumberFormat="1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69" fillId="0" borderId="0" xfId="0" applyFont="1" applyFill="1" applyAlignment="1">
      <alignment vertical="center" wrapText="1"/>
    </xf>
    <xf numFmtId="0" fontId="70" fillId="0" borderId="0" xfId="0" applyFont="1" applyFill="1" applyAlignment="1">
      <alignment horizontal="center" vertical="center" wrapText="1"/>
    </xf>
    <xf numFmtId="174" fontId="69" fillId="0" borderId="0" xfId="0" applyNumberFormat="1" applyFont="1" applyFill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173" fontId="70" fillId="0" borderId="0" xfId="0" applyNumberFormat="1" applyFont="1" applyFill="1" applyBorder="1" applyAlignment="1">
      <alignment vertical="center" wrapText="1"/>
    </xf>
    <xf numFmtId="188" fontId="70" fillId="0" borderId="0" xfId="0" applyNumberFormat="1" applyFont="1" applyFill="1" applyBorder="1" applyAlignment="1">
      <alignment vertical="center" wrapText="1"/>
    </xf>
    <xf numFmtId="173" fontId="70" fillId="31" borderId="0" xfId="0" applyNumberFormat="1" applyFont="1" applyFill="1" applyBorder="1" applyAlignment="1">
      <alignment vertical="center" wrapText="1"/>
    </xf>
    <xf numFmtId="188" fontId="70" fillId="31" borderId="0" xfId="0" applyNumberFormat="1" applyFont="1" applyFill="1" applyBorder="1" applyAlignment="1">
      <alignment vertical="center" wrapText="1"/>
    </xf>
    <xf numFmtId="173" fontId="69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0" fillId="33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73" fillId="0" borderId="0" xfId="0" applyFont="1" applyFill="1" applyAlignment="1">
      <alignment horizontal="center" vertical="center" wrapText="1"/>
    </xf>
    <xf numFmtId="174" fontId="72" fillId="0" borderId="0" xfId="0" applyNumberFormat="1" applyFont="1" applyFill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188" fontId="73" fillId="0" borderId="0" xfId="0" applyNumberFormat="1" applyFont="1" applyFill="1" applyBorder="1" applyAlignment="1">
      <alignment vertical="center" wrapText="1"/>
    </xf>
    <xf numFmtId="0" fontId="73" fillId="0" borderId="0" xfId="0" applyFont="1" applyFill="1" applyAlignment="1">
      <alignment vertical="center" wrapText="1"/>
    </xf>
    <xf numFmtId="173" fontId="72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49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10" borderId="10" xfId="0" applyFont="1" applyFill="1" applyBorder="1" applyAlignment="1" applyProtection="1">
      <alignment wrapText="1"/>
      <protection/>
    </xf>
    <xf numFmtId="2" fontId="5" fillId="10" borderId="10" xfId="0" applyNumberFormat="1" applyFont="1" applyFill="1" applyBorder="1" applyAlignment="1" applyProtection="1">
      <alignment horizontal="right" vertical="center" wrapText="1"/>
      <protection/>
    </xf>
    <xf numFmtId="0" fontId="16" fillId="10" borderId="10" xfId="0" applyFont="1" applyFill="1" applyBorder="1" applyAlignment="1" applyProtection="1">
      <alignment wrapText="1"/>
      <protection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Fill="1" applyBorder="1" applyAlignment="1">
      <alignment horizontal="left" vertical="top" wrapText="1"/>
    </xf>
    <xf numFmtId="0" fontId="16" fillId="10" borderId="10" xfId="0" applyFont="1" applyFill="1" applyBorder="1" applyAlignment="1" applyProtection="1">
      <alignment horizontal="left" vertical="top" wrapText="1"/>
      <protection/>
    </xf>
    <xf numFmtId="0" fontId="16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5" fillId="12" borderId="10" xfId="0" applyFont="1" applyFill="1" applyBorder="1" applyAlignment="1">
      <alignment horizontal="justify" wrapText="1"/>
    </xf>
    <xf numFmtId="0" fontId="16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172" fontId="5" fillId="0" borderId="10" xfId="60" applyFont="1" applyFill="1" applyBorder="1" applyAlignment="1">
      <alignment horizontal="right" vertical="center" wrapText="1"/>
    </xf>
    <xf numFmtId="172" fontId="5" fillId="10" borderId="10" xfId="60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10" borderId="10" xfId="57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9" fontId="6" fillId="4" borderId="10" xfId="57" applyFont="1" applyFill="1" applyBorder="1" applyAlignment="1" applyProtection="1">
      <alignment horizontal="right" vertical="center" wrapText="1"/>
      <protection/>
    </xf>
    <xf numFmtId="0" fontId="2" fillId="4" borderId="0" xfId="0" applyFont="1" applyFill="1" applyBorder="1" applyAlignment="1">
      <alignment vertical="center" wrapText="1"/>
    </xf>
    <xf numFmtId="0" fontId="73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73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wrapText="1"/>
    </xf>
    <xf numFmtId="188" fontId="73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72" fillId="34" borderId="0" xfId="0" applyFont="1" applyFill="1" applyBorder="1" applyAlignment="1">
      <alignment vertical="center" wrapText="1"/>
    </xf>
    <xf numFmtId="0" fontId="16" fillId="34" borderId="14" xfId="0" applyFont="1" applyFill="1" applyBorder="1" applyAlignment="1">
      <alignment horizontal="left" vertical="top" wrapText="1"/>
    </xf>
    <xf numFmtId="0" fontId="16" fillId="34" borderId="14" xfId="0" applyFont="1" applyFill="1" applyBorder="1" applyAlignment="1">
      <alignment vertical="top" wrapText="1"/>
    </xf>
    <xf numFmtId="0" fontId="16" fillId="4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5"/>
  <sheetViews>
    <sheetView showGridLines="0" tabSelected="1" view="pageBreakPreview" zoomScale="85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76" sqref="AF76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3.851562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58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2"/>
      <c r="H1" s="102"/>
      <c r="I1" s="24"/>
      <c r="J1" s="24"/>
      <c r="K1" s="24"/>
      <c r="O1" s="24"/>
      <c r="P1" s="24"/>
      <c r="Q1" s="24"/>
      <c r="R1" s="24"/>
      <c r="S1" s="24"/>
    </row>
    <row r="2" spans="1:19" ht="26.25" customHeight="1">
      <c r="A2" s="23"/>
      <c r="O2" s="171"/>
      <c r="P2" s="171"/>
      <c r="Q2" s="171"/>
      <c r="R2" s="171"/>
      <c r="S2" s="171"/>
    </row>
    <row r="3" spans="1:32" ht="26.25" customHeight="1">
      <c r="A3" s="23"/>
      <c r="O3" s="172"/>
      <c r="P3" s="172"/>
      <c r="Q3" s="172"/>
      <c r="R3" s="172"/>
      <c r="S3" s="172"/>
      <c r="AF3" s="8"/>
    </row>
    <row r="4" spans="1:34" s="9" customFormat="1" ht="69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L4" s="27"/>
      <c r="M4" s="27"/>
      <c r="N4" s="27"/>
      <c r="O4" s="27"/>
      <c r="P4" s="27"/>
      <c r="Q4" s="27"/>
      <c r="R4" s="27"/>
      <c r="S4" s="28" t="s">
        <v>14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 t="s">
        <v>14</v>
      </c>
      <c r="AH4" s="94"/>
    </row>
    <row r="5" spans="1:34" s="11" customFormat="1" ht="18.75" customHeight="1">
      <c r="A5" s="170" t="s">
        <v>5</v>
      </c>
      <c r="B5" s="173" t="s">
        <v>163</v>
      </c>
      <c r="C5" s="173" t="s">
        <v>19</v>
      </c>
      <c r="D5" s="173" t="s">
        <v>145</v>
      </c>
      <c r="E5" s="173" t="s">
        <v>20</v>
      </c>
      <c r="F5" s="169" t="s">
        <v>15</v>
      </c>
      <c r="G5" s="169"/>
      <c r="H5" s="169" t="s">
        <v>0</v>
      </c>
      <c r="I5" s="169"/>
      <c r="J5" s="169" t="s">
        <v>1</v>
      </c>
      <c r="K5" s="169"/>
      <c r="L5" s="169" t="s">
        <v>2</v>
      </c>
      <c r="M5" s="169"/>
      <c r="N5" s="169" t="s">
        <v>3</v>
      </c>
      <c r="O5" s="169"/>
      <c r="P5" s="169" t="s">
        <v>4</v>
      </c>
      <c r="Q5" s="169"/>
      <c r="R5" s="169" t="s">
        <v>6</v>
      </c>
      <c r="S5" s="169"/>
      <c r="T5" s="108" t="s">
        <v>7</v>
      </c>
      <c r="U5" s="108" t="s">
        <v>7</v>
      </c>
      <c r="V5" s="169" t="s">
        <v>8</v>
      </c>
      <c r="W5" s="169"/>
      <c r="X5" s="169" t="s">
        <v>9</v>
      </c>
      <c r="Y5" s="169"/>
      <c r="Z5" s="169" t="s">
        <v>10</v>
      </c>
      <c r="AA5" s="169"/>
      <c r="AB5" s="169" t="s">
        <v>11</v>
      </c>
      <c r="AC5" s="169"/>
      <c r="AD5" s="169" t="s">
        <v>12</v>
      </c>
      <c r="AE5" s="169"/>
      <c r="AF5" s="170" t="s">
        <v>21</v>
      </c>
      <c r="AH5" s="95"/>
    </row>
    <row r="6" spans="1:34" s="13" customFormat="1" ht="72.75" customHeight="1">
      <c r="A6" s="170"/>
      <c r="B6" s="174"/>
      <c r="C6" s="174"/>
      <c r="D6" s="175"/>
      <c r="E6" s="174"/>
      <c r="F6" s="10" t="s">
        <v>17</v>
      </c>
      <c r="G6" s="10" t="s">
        <v>16</v>
      </c>
      <c r="H6" s="12" t="s">
        <v>13</v>
      </c>
      <c r="I6" s="12" t="s">
        <v>18</v>
      </c>
      <c r="J6" s="12" t="s">
        <v>13</v>
      </c>
      <c r="K6" s="12" t="s">
        <v>18</v>
      </c>
      <c r="L6" s="12" t="s">
        <v>13</v>
      </c>
      <c r="M6" s="12" t="s">
        <v>18</v>
      </c>
      <c r="N6" s="12" t="s">
        <v>13</v>
      </c>
      <c r="O6" s="12" t="s">
        <v>18</v>
      </c>
      <c r="P6" s="12" t="s">
        <v>13</v>
      </c>
      <c r="Q6" s="12" t="s">
        <v>18</v>
      </c>
      <c r="R6" s="12" t="s">
        <v>13</v>
      </c>
      <c r="S6" s="12" t="s">
        <v>18</v>
      </c>
      <c r="T6" s="12" t="s">
        <v>13</v>
      </c>
      <c r="U6" s="12" t="s">
        <v>18</v>
      </c>
      <c r="V6" s="12" t="s">
        <v>13</v>
      </c>
      <c r="W6" s="12" t="s">
        <v>18</v>
      </c>
      <c r="X6" s="12" t="s">
        <v>13</v>
      </c>
      <c r="Y6" s="12" t="s">
        <v>18</v>
      </c>
      <c r="Z6" s="12" t="s">
        <v>13</v>
      </c>
      <c r="AA6" s="12" t="s">
        <v>18</v>
      </c>
      <c r="AB6" s="12" t="s">
        <v>13</v>
      </c>
      <c r="AC6" s="12" t="s">
        <v>18</v>
      </c>
      <c r="AD6" s="12" t="s">
        <v>13</v>
      </c>
      <c r="AE6" s="12" t="s">
        <v>18</v>
      </c>
      <c r="AF6" s="170"/>
      <c r="AH6" s="95"/>
    </row>
    <row r="7" spans="1:34" s="15" customFormat="1" ht="20.25" customHeight="1">
      <c r="A7" s="14">
        <v>1</v>
      </c>
      <c r="B7" s="14">
        <v>2</v>
      </c>
      <c r="C7" s="14">
        <v>3</v>
      </c>
      <c r="D7" s="14"/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4">
        <v>22</v>
      </c>
      <c r="X7" s="14">
        <v>23</v>
      </c>
      <c r="Y7" s="14">
        <v>24</v>
      </c>
      <c r="Z7" s="14">
        <v>25</v>
      </c>
      <c r="AA7" s="14">
        <v>26</v>
      </c>
      <c r="AB7" s="14">
        <v>27</v>
      </c>
      <c r="AC7" s="14">
        <v>28</v>
      </c>
      <c r="AD7" s="14">
        <v>29</v>
      </c>
      <c r="AE7" s="14">
        <v>30</v>
      </c>
      <c r="AF7" s="14">
        <v>31</v>
      </c>
      <c r="AH7" s="96"/>
    </row>
    <row r="8" spans="1:34" s="17" customFormat="1" ht="18.75">
      <c r="A8" s="29"/>
      <c r="B8" s="29"/>
      <c r="C8" s="29"/>
      <c r="D8" s="29"/>
      <c r="E8" s="29"/>
      <c r="F8" s="29"/>
      <c r="G8" s="29"/>
      <c r="H8" s="105"/>
      <c r="I8" s="10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16"/>
      <c r="Y8" s="16"/>
      <c r="Z8" s="16"/>
      <c r="AA8" s="16"/>
      <c r="AB8" s="16"/>
      <c r="AC8" s="16"/>
      <c r="AD8" s="16"/>
      <c r="AE8" s="16"/>
      <c r="AF8" s="103"/>
      <c r="AH8" s="97"/>
    </row>
    <row r="9" spans="1:34" s="17" customFormat="1" ht="18.75">
      <c r="A9" s="19" t="s">
        <v>164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H9" s="97"/>
    </row>
    <row r="10" spans="1:34" s="18" customFormat="1" ht="48.75" customHeight="1">
      <c r="A10" s="114" t="s">
        <v>110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6"/>
      <c r="AH10" s="98"/>
    </row>
    <row r="11" spans="1:34" s="18" customFormat="1" ht="56.25">
      <c r="A11" s="5" t="s">
        <v>111</v>
      </c>
      <c r="B11" s="111"/>
      <c r="C11" s="112"/>
      <c r="D11" s="112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04"/>
      <c r="AH11" s="98"/>
    </row>
    <row r="12" spans="1:34" s="18" customFormat="1" ht="18.75">
      <c r="A12" s="4" t="s">
        <v>22</v>
      </c>
      <c r="B12" s="113"/>
      <c r="C12" s="112"/>
      <c r="D12" s="112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4"/>
      <c r="AH12" s="98"/>
    </row>
    <row r="13" spans="1:34" s="18" customFormat="1" ht="77.25" customHeight="1">
      <c r="A13" s="45" t="s">
        <v>112</v>
      </c>
      <c r="B13" s="113"/>
      <c r="C13" s="112"/>
      <c r="D13" s="112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66" t="s">
        <v>166</v>
      </c>
      <c r="AH13" s="98"/>
    </row>
    <row r="14" spans="1:34" s="18" customFormat="1" ht="18.75">
      <c r="A14" s="117" t="s">
        <v>28</v>
      </c>
      <c r="B14" s="127">
        <f>B15+B16</f>
        <v>5520.2</v>
      </c>
      <c r="C14" s="127">
        <f>C15+C16</f>
        <v>0</v>
      </c>
      <c r="D14" s="127">
        <f>D15+D16</f>
        <v>0</v>
      </c>
      <c r="E14" s="127">
        <f>E15+E16</f>
        <v>0</v>
      </c>
      <c r="F14" s="136">
        <f>E14/B14</f>
        <v>0</v>
      </c>
      <c r="G14" s="136">
        <v>0</v>
      </c>
      <c r="H14" s="128">
        <f>H15+H16</f>
        <v>0</v>
      </c>
      <c r="I14" s="128">
        <f aca="true" t="shared" si="0" ref="I14:AE14">I15+I16</f>
        <v>0</v>
      </c>
      <c r="J14" s="128">
        <f t="shared" si="0"/>
        <v>0</v>
      </c>
      <c r="K14" s="128">
        <f t="shared" si="0"/>
        <v>0</v>
      </c>
      <c r="L14" s="128">
        <f t="shared" si="0"/>
        <v>0</v>
      </c>
      <c r="M14" s="128">
        <f t="shared" si="0"/>
        <v>0</v>
      </c>
      <c r="N14" s="128">
        <f t="shared" si="0"/>
        <v>0</v>
      </c>
      <c r="O14" s="128">
        <f t="shared" si="0"/>
        <v>0</v>
      </c>
      <c r="P14" s="128">
        <f t="shared" si="0"/>
        <v>0</v>
      </c>
      <c r="Q14" s="128">
        <f t="shared" si="0"/>
        <v>0</v>
      </c>
      <c r="R14" s="128">
        <f t="shared" si="0"/>
        <v>1840.14702</v>
      </c>
      <c r="S14" s="128">
        <f t="shared" si="0"/>
        <v>0</v>
      </c>
      <c r="T14" s="128">
        <f t="shared" si="0"/>
        <v>1840.04649</v>
      </c>
      <c r="U14" s="128">
        <f t="shared" si="0"/>
        <v>0</v>
      </c>
      <c r="V14" s="128">
        <f t="shared" si="0"/>
        <v>1840.0064899999998</v>
      </c>
      <c r="W14" s="128">
        <f t="shared" si="0"/>
        <v>0</v>
      </c>
      <c r="X14" s="128">
        <f t="shared" si="0"/>
        <v>0</v>
      </c>
      <c r="Y14" s="128">
        <f t="shared" si="0"/>
        <v>0</v>
      </c>
      <c r="Z14" s="128">
        <f t="shared" si="0"/>
        <v>0</v>
      </c>
      <c r="AA14" s="128">
        <f t="shared" si="0"/>
        <v>0</v>
      </c>
      <c r="AB14" s="128">
        <f t="shared" si="0"/>
        <v>0</v>
      </c>
      <c r="AC14" s="128">
        <f t="shared" si="0"/>
        <v>0</v>
      </c>
      <c r="AD14" s="128">
        <f t="shared" si="0"/>
        <v>0</v>
      </c>
      <c r="AE14" s="128">
        <f t="shared" si="0"/>
        <v>0</v>
      </c>
      <c r="AF14" s="167"/>
      <c r="AH14" s="98"/>
    </row>
    <row r="15" spans="1:34" s="152" customFormat="1" ht="18.75">
      <c r="A15" s="148" t="s">
        <v>24</v>
      </c>
      <c r="B15" s="149">
        <f>H15+J15+L15+N15+P15+R15+T15+V15+X15+Z15+AB15+AD15</f>
        <v>840</v>
      </c>
      <c r="C15" s="150">
        <f>H15</f>
        <v>0</v>
      </c>
      <c r="D15" s="150">
        <f>I15</f>
        <v>0</v>
      </c>
      <c r="E15" s="150">
        <f>I15+K15+M15+O15+Q15+S15+U15+W15+Y15+AA15+AC15+AE15</f>
        <v>0</v>
      </c>
      <c r="F15" s="151">
        <f>E15/B15</f>
        <v>0</v>
      </c>
      <c r="G15" s="151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f>262660/1000</f>
        <v>262.66</v>
      </c>
      <c r="S15" s="150">
        <v>0</v>
      </c>
      <c r="T15" s="150">
        <f>47075/1000</f>
        <v>47.075</v>
      </c>
      <c r="U15" s="150">
        <v>0</v>
      </c>
      <c r="V15" s="150">
        <f>530265/1000</f>
        <v>530.265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67"/>
      <c r="AH15" s="153"/>
    </row>
    <row r="16" spans="1:34" s="152" customFormat="1" ht="54.75" customHeight="1">
      <c r="A16" s="148" t="s">
        <v>25</v>
      </c>
      <c r="B16" s="149">
        <f>H16+J16+L16+N16+P16+R16+T16+V16+X16+Z16+AB16+AD16</f>
        <v>4680.2</v>
      </c>
      <c r="C16" s="150">
        <f>H16</f>
        <v>0</v>
      </c>
      <c r="D16" s="150">
        <v>0</v>
      </c>
      <c r="E16" s="150">
        <f>I16+K16+M16+O16+Q16+S16+U16+W16+Y16+AA16+AC16+AE16</f>
        <v>0</v>
      </c>
      <c r="F16" s="151">
        <f>E16/B16</f>
        <v>0</v>
      </c>
      <c r="G16" s="151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f>1577487.02/1000</f>
        <v>1577.48702</v>
      </c>
      <c r="S16" s="150"/>
      <c r="T16" s="150">
        <f>1792971.49/1000</f>
        <v>1792.97149</v>
      </c>
      <c r="U16" s="150">
        <v>0</v>
      </c>
      <c r="V16" s="150">
        <f>1309741.49/1000</f>
        <v>1309.7414899999999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68"/>
      <c r="AH16" s="153"/>
    </row>
    <row r="17" spans="1:34" s="18" customFormat="1" ht="76.5" customHeight="1">
      <c r="A17" s="46" t="s">
        <v>113</v>
      </c>
      <c r="B17" s="130"/>
      <c r="C17" s="131"/>
      <c r="D17" s="131"/>
      <c r="E17" s="131"/>
      <c r="F17" s="138"/>
      <c r="G17" s="138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66" t="s">
        <v>167</v>
      </c>
      <c r="AH17" s="98"/>
    </row>
    <row r="18" spans="1:34" s="18" customFormat="1" ht="18.75" customHeight="1">
      <c r="A18" s="117" t="s">
        <v>28</v>
      </c>
      <c r="B18" s="127">
        <f>B20+B19</f>
        <v>644</v>
      </c>
      <c r="C18" s="127">
        <f>C20+C19</f>
        <v>167.95295</v>
      </c>
      <c r="D18" s="127">
        <f>D20+D19</f>
        <v>167.95295000000002</v>
      </c>
      <c r="E18" s="127">
        <f>E20+E19</f>
        <v>86.18999999999998</v>
      </c>
      <c r="F18" s="136">
        <f>E18/B18</f>
        <v>0.13383540372670805</v>
      </c>
      <c r="G18" s="136">
        <f aca="true" t="shared" si="1" ref="G18:G24">E18/C18</f>
        <v>0.5131794350739298</v>
      </c>
      <c r="H18" s="127">
        <f>H20+H19</f>
        <v>33.989599999999996</v>
      </c>
      <c r="I18" s="127">
        <f aca="true" t="shared" si="2" ref="I18:AE18">I20+I19</f>
        <v>0</v>
      </c>
      <c r="J18" s="127">
        <f t="shared" si="2"/>
        <v>33.9896</v>
      </c>
      <c r="K18" s="127">
        <f t="shared" si="2"/>
        <v>40.94</v>
      </c>
      <c r="L18" s="127">
        <f t="shared" si="2"/>
        <v>99.97375</v>
      </c>
      <c r="M18" s="127">
        <f t="shared" si="2"/>
        <v>45.25</v>
      </c>
      <c r="N18" s="127">
        <f t="shared" si="2"/>
        <v>100.01803</v>
      </c>
      <c r="O18" s="127">
        <f t="shared" si="2"/>
        <v>0</v>
      </c>
      <c r="P18" s="127">
        <f t="shared" si="2"/>
        <v>100.02203</v>
      </c>
      <c r="Q18" s="127">
        <f t="shared" si="2"/>
        <v>0</v>
      </c>
      <c r="R18" s="127">
        <f t="shared" si="2"/>
        <v>0</v>
      </c>
      <c r="S18" s="127">
        <f t="shared" si="2"/>
        <v>0</v>
      </c>
      <c r="T18" s="127">
        <f t="shared" si="2"/>
        <v>0</v>
      </c>
      <c r="U18" s="127">
        <f t="shared" si="2"/>
        <v>0</v>
      </c>
      <c r="V18" s="127">
        <f t="shared" si="2"/>
        <v>0</v>
      </c>
      <c r="W18" s="127">
        <f t="shared" si="2"/>
        <v>0</v>
      </c>
      <c r="X18" s="127">
        <f t="shared" si="2"/>
        <v>92.00233</v>
      </c>
      <c r="Y18" s="127">
        <f t="shared" si="2"/>
        <v>0</v>
      </c>
      <c r="Z18" s="127">
        <f t="shared" si="2"/>
        <v>92.00233</v>
      </c>
      <c r="AA18" s="127">
        <f t="shared" si="2"/>
        <v>0</v>
      </c>
      <c r="AB18" s="127">
        <f t="shared" si="2"/>
        <v>92.00233</v>
      </c>
      <c r="AC18" s="127">
        <f t="shared" si="2"/>
        <v>0</v>
      </c>
      <c r="AD18" s="127">
        <f t="shared" si="2"/>
        <v>0</v>
      </c>
      <c r="AE18" s="127">
        <f t="shared" si="2"/>
        <v>0</v>
      </c>
      <c r="AF18" s="167"/>
      <c r="AH18" s="98"/>
    </row>
    <row r="19" spans="1:34" s="152" customFormat="1" ht="18.75" customHeight="1">
      <c r="A19" s="148" t="s">
        <v>24</v>
      </c>
      <c r="B19" s="149">
        <f>H19+J19+L19+N19+P19+R19+T19+V19+X19+Z19+AB19+AD19</f>
        <v>98</v>
      </c>
      <c r="C19" s="150">
        <f>H19+J19+L19</f>
        <v>20.39066</v>
      </c>
      <c r="D19" s="150">
        <f>20390.66/1000</f>
        <v>20.39066</v>
      </c>
      <c r="E19" s="150">
        <f>I19+K19+M19+O19+Q19+S19+U19+W19+Y19+AA19+AC19+AE19</f>
        <v>5.21</v>
      </c>
      <c r="F19" s="151">
        <f>E19/B19</f>
        <v>0.05316326530612245</v>
      </c>
      <c r="G19" s="151">
        <f>E19/C19</f>
        <v>0.2555091399689858</v>
      </c>
      <c r="H19" s="150">
        <v>0</v>
      </c>
      <c r="I19" s="150">
        <v>0</v>
      </c>
      <c r="J19" s="150">
        <f>2604/1000</f>
        <v>2.604</v>
      </c>
      <c r="K19" s="150">
        <v>2</v>
      </c>
      <c r="L19" s="150">
        <f>17786.66/1000</f>
        <v>17.78666</v>
      </c>
      <c r="M19" s="150">
        <v>3.21</v>
      </c>
      <c r="N19" s="150">
        <f>17798.67/1000</f>
        <v>17.798669999999998</v>
      </c>
      <c r="O19" s="150">
        <v>0</v>
      </c>
      <c r="P19" s="150">
        <f>17810.67/1000</f>
        <v>17.81067</v>
      </c>
      <c r="Q19" s="150">
        <v>0</v>
      </c>
      <c r="R19" s="150">
        <v>0</v>
      </c>
      <c r="S19" s="150">
        <v>0</v>
      </c>
      <c r="T19" s="150">
        <v>0</v>
      </c>
      <c r="U19" s="150"/>
      <c r="V19" s="150">
        <v>0</v>
      </c>
      <c r="W19" s="150">
        <v>0</v>
      </c>
      <c r="X19" s="150">
        <f>14000/1000</f>
        <v>14</v>
      </c>
      <c r="Y19" s="150">
        <v>0</v>
      </c>
      <c r="Z19" s="150">
        <f>14000/1000</f>
        <v>14</v>
      </c>
      <c r="AA19" s="150">
        <v>0</v>
      </c>
      <c r="AB19" s="150">
        <f>14000/1000</f>
        <v>14</v>
      </c>
      <c r="AC19" s="150">
        <v>0</v>
      </c>
      <c r="AD19" s="150">
        <v>0</v>
      </c>
      <c r="AE19" s="150">
        <v>0</v>
      </c>
      <c r="AF19" s="167"/>
      <c r="AG19" s="154"/>
      <c r="AH19" s="153"/>
    </row>
    <row r="20" spans="1:34" s="152" customFormat="1" ht="29.25" customHeight="1">
      <c r="A20" s="148" t="s">
        <v>25</v>
      </c>
      <c r="B20" s="149">
        <f>H20+J20+L20+N20+P20+R20+T20+V20+X20+Z20+AB20+AD20</f>
        <v>546</v>
      </c>
      <c r="C20" s="150">
        <f>H20+J20+L20</f>
        <v>147.56229</v>
      </c>
      <c r="D20" s="150">
        <f>147562.29/1000</f>
        <v>147.56229000000002</v>
      </c>
      <c r="E20" s="150">
        <f>I20+K20+M20+O20+Q20+S20+U20+W20+Y20+AA20+AC20+AE20</f>
        <v>80.97999999999999</v>
      </c>
      <c r="F20" s="151">
        <f>E20/B20</f>
        <v>0.1483150183150183</v>
      </c>
      <c r="G20" s="151">
        <f t="shared" si="1"/>
        <v>0.5487851943745248</v>
      </c>
      <c r="H20" s="150">
        <f>33989.6/1000</f>
        <v>33.989599999999996</v>
      </c>
      <c r="I20" s="150">
        <v>0</v>
      </c>
      <c r="J20" s="150">
        <f>31385.6/1000</f>
        <v>31.3856</v>
      </c>
      <c r="K20" s="150">
        <v>38.94</v>
      </c>
      <c r="L20" s="150">
        <f>82187.09/1000</f>
        <v>82.18709</v>
      </c>
      <c r="M20" s="150">
        <v>42.04</v>
      </c>
      <c r="N20" s="150">
        <f>82219.36/1000</f>
        <v>82.21936</v>
      </c>
      <c r="O20" s="150">
        <v>0</v>
      </c>
      <c r="P20" s="150">
        <f>82211.36/1000</f>
        <v>82.21136</v>
      </c>
      <c r="Q20" s="150">
        <v>0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f>78002.33/1000</f>
        <v>78.00233</v>
      </c>
      <c r="Y20" s="150">
        <v>0</v>
      </c>
      <c r="Z20" s="150">
        <f>78002.33/1000</f>
        <v>78.00233</v>
      </c>
      <c r="AA20" s="150">
        <v>0</v>
      </c>
      <c r="AB20" s="150">
        <f>78002.33/1000</f>
        <v>78.00233</v>
      </c>
      <c r="AC20" s="150">
        <v>0</v>
      </c>
      <c r="AD20" s="150">
        <v>0</v>
      </c>
      <c r="AE20" s="150">
        <v>0</v>
      </c>
      <c r="AF20" s="168"/>
      <c r="AG20" s="154"/>
      <c r="AH20" s="153"/>
    </row>
    <row r="21" spans="1:34" s="18" customFormat="1" ht="75" customHeight="1">
      <c r="A21" s="45" t="s">
        <v>114</v>
      </c>
      <c r="B21" s="129"/>
      <c r="C21" s="131"/>
      <c r="D21" s="131"/>
      <c r="E21" s="131"/>
      <c r="F21" s="138"/>
      <c r="G21" s="138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65" t="s">
        <v>168</v>
      </c>
      <c r="AH21" s="98"/>
    </row>
    <row r="22" spans="1:34" s="18" customFormat="1" ht="20.25">
      <c r="A22" s="117" t="s">
        <v>28</v>
      </c>
      <c r="B22" s="127">
        <f>B23+B24</f>
        <v>788.5999899999999</v>
      </c>
      <c r="C22" s="127">
        <f>C23+C24</f>
        <v>157.5719</v>
      </c>
      <c r="D22" s="127">
        <f>D23+D24</f>
        <v>157.57189999999997</v>
      </c>
      <c r="E22" s="127">
        <f>E23+E24</f>
        <v>55.82</v>
      </c>
      <c r="F22" s="136">
        <f>E22/B22</f>
        <v>0.07078366815601914</v>
      </c>
      <c r="G22" s="136">
        <f t="shared" si="1"/>
        <v>0.35425098002879957</v>
      </c>
      <c r="H22" s="128">
        <f aca="true" t="shared" si="3" ref="H22:AE22">H23+H24</f>
        <v>31.8</v>
      </c>
      <c r="I22" s="128">
        <f t="shared" si="3"/>
        <v>0</v>
      </c>
      <c r="J22" s="128">
        <f t="shared" si="3"/>
        <v>33.73655</v>
      </c>
      <c r="K22" s="128">
        <f t="shared" si="3"/>
        <v>7.22</v>
      </c>
      <c r="L22" s="128">
        <f t="shared" si="3"/>
        <v>92.03535</v>
      </c>
      <c r="M22" s="128">
        <f t="shared" si="3"/>
        <v>48.6</v>
      </c>
      <c r="N22" s="128">
        <f t="shared" si="3"/>
        <v>68.34758</v>
      </c>
      <c r="O22" s="128">
        <f t="shared" si="3"/>
        <v>0</v>
      </c>
      <c r="P22" s="128">
        <f t="shared" si="3"/>
        <v>89.42567</v>
      </c>
      <c r="Q22" s="128">
        <f t="shared" si="3"/>
        <v>0</v>
      </c>
      <c r="R22" s="128">
        <f t="shared" si="3"/>
        <v>68.34458</v>
      </c>
      <c r="S22" s="128">
        <f t="shared" si="3"/>
        <v>0</v>
      </c>
      <c r="T22" s="128">
        <f t="shared" si="3"/>
        <v>89.37369</v>
      </c>
      <c r="U22" s="128">
        <f t="shared" si="3"/>
        <v>0</v>
      </c>
      <c r="V22" s="128">
        <f t="shared" si="3"/>
        <v>68.34459</v>
      </c>
      <c r="W22" s="128">
        <f t="shared" si="3"/>
        <v>0</v>
      </c>
      <c r="X22" s="128">
        <f t="shared" si="3"/>
        <v>89.37369</v>
      </c>
      <c r="Y22" s="128">
        <f t="shared" si="3"/>
        <v>0</v>
      </c>
      <c r="Z22" s="128">
        <f t="shared" si="3"/>
        <v>70.38833</v>
      </c>
      <c r="AA22" s="128">
        <f t="shared" si="3"/>
        <v>0</v>
      </c>
      <c r="AB22" s="128">
        <f t="shared" si="3"/>
        <v>87.42996</v>
      </c>
      <c r="AC22" s="128">
        <f t="shared" si="3"/>
        <v>0</v>
      </c>
      <c r="AD22" s="128">
        <f t="shared" si="3"/>
        <v>0</v>
      </c>
      <c r="AE22" s="128">
        <f t="shared" si="3"/>
        <v>0</v>
      </c>
      <c r="AF22" s="165"/>
      <c r="AG22" s="92"/>
      <c r="AH22" s="99">
        <f>AH23+AH24</f>
        <v>788.5999899999999</v>
      </c>
    </row>
    <row r="23" spans="1:34" s="152" customFormat="1" ht="20.25" customHeight="1">
      <c r="A23" s="148" t="s">
        <v>24</v>
      </c>
      <c r="B23" s="149">
        <f>H23+J23+L23+N23+P23+R23+T23+V23+X23+Z23+AB23+AD23</f>
        <v>477.29999999999995</v>
      </c>
      <c r="C23" s="150">
        <f>H23+J23+L23</f>
        <v>88.996</v>
      </c>
      <c r="D23" s="150">
        <f>C23</f>
        <v>88.996</v>
      </c>
      <c r="E23" s="150">
        <f>I23+K23+M23+O23+Q23+S23+U23+W23+Y23+AA23+AC23+AE23</f>
        <v>55.82</v>
      </c>
      <c r="F23" s="151">
        <f>E23/B23</f>
        <v>0.11694950764718208</v>
      </c>
      <c r="G23" s="151">
        <f>E23/C23</f>
        <v>0.6272192008629601</v>
      </c>
      <c r="H23" s="150">
        <v>0</v>
      </c>
      <c r="I23" s="150">
        <v>0</v>
      </c>
      <c r="J23" s="150">
        <f>33736.55/1000</f>
        <v>33.73655</v>
      </c>
      <c r="K23" s="150">
        <v>7.22</v>
      </c>
      <c r="L23" s="150">
        <f>55259.45/1000</f>
        <v>55.259449999999994</v>
      </c>
      <c r="M23" s="150">
        <v>48.6</v>
      </c>
      <c r="N23" s="150">
        <f>44544/1000</f>
        <v>44.544</v>
      </c>
      <c r="O23" s="150">
        <v>0</v>
      </c>
      <c r="P23" s="150">
        <f>44596/1000</f>
        <v>44.596</v>
      </c>
      <c r="Q23" s="150">
        <v>0</v>
      </c>
      <c r="R23" s="150">
        <f>44544/1000</f>
        <v>44.544</v>
      </c>
      <c r="S23" s="150">
        <v>0</v>
      </c>
      <c r="T23" s="150">
        <f>44544/1000</f>
        <v>44.544</v>
      </c>
      <c r="U23" s="150">
        <v>0</v>
      </c>
      <c r="V23" s="150">
        <f>44544/1000</f>
        <v>44.544</v>
      </c>
      <c r="W23" s="150">
        <v>0</v>
      </c>
      <c r="X23" s="150">
        <f>44544/1000</f>
        <v>44.544</v>
      </c>
      <c r="Y23" s="150">
        <v>0</v>
      </c>
      <c r="Z23" s="150">
        <f>46587.74/1000</f>
        <v>46.58774</v>
      </c>
      <c r="AA23" s="150">
        <v>0</v>
      </c>
      <c r="AB23" s="150">
        <f>74400.26/1000</f>
        <v>74.40025999999999</v>
      </c>
      <c r="AC23" s="150">
        <v>0</v>
      </c>
      <c r="AD23" s="150"/>
      <c r="AE23" s="150">
        <v>0</v>
      </c>
      <c r="AF23" s="165"/>
      <c r="AG23" s="155"/>
      <c r="AH23" s="156">
        <f>J23+L23+N23+P23+R23+T23+V23+X23+Z23+AB23+AD23+H23</f>
        <v>477.29999999999995</v>
      </c>
    </row>
    <row r="24" spans="1:34" s="152" customFormat="1" ht="20.25">
      <c r="A24" s="148" t="s">
        <v>25</v>
      </c>
      <c r="B24" s="149">
        <f>H24+J24+L24+N24+P24+R24+T24+V24+X24+Z24+AB24+AD24</f>
        <v>311.29999</v>
      </c>
      <c r="C24" s="150">
        <f>H24+J24+L24</f>
        <v>68.5759</v>
      </c>
      <c r="D24" s="150">
        <f>68575.9/1000</f>
        <v>68.57589999999999</v>
      </c>
      <c r="E24" s="150">
        <f>I24+K24+M24+O24+Q24+S24+U24+W24+Y24+AA24+AC24+AE24</f>
        <v>0</v>
      </c>
      <c r="F24" s="151">
        <f>E24/B24</f>
        <v>0</v>
      </c>
      <c r="G24" s="151">
        <f t="shared" si="1"/>
        <v>0</v>
      </c>
      <c r="H24" s="150">
        <f>31800/1000</f>
        <v>31.8</v>
      </c>
      <c r="I24" s="150">
        <v>0</v>
      </c>
      <c r="J24" s="150">
        <v>0</v>
      </c>
      <c r="K24" s="150">
        <v>0</v>
      </c>
      <c r="L24" s="150">
        <f>36775.9/1000</f>
        <v>36.7759</v>
      </c>
      <c r="M24" s="150">
        <v>0</v>
      </c>
      <c r="N24" s="150">
        <f>23803.58/1000</f>
        <v>23.80358</v>
      </c>
      <c r="O24" s="150">
        <v>0</v>
      </c>
      <c r="P24" s="150">
        <f>44829.67/1000</f>
        <v>44.82967</v>
      </c>
      <c r="Q24" s="150">
        <v>0</v>
      </c>
      <c r="R24" s="150">
        <f>23800.58/1000</f>
        <v>23.80058</v>
      </c>
      <c r="S24" s="150">
        <v>0</v>
      </c>
      <c r="T24" s="150">
        <f>44829.69/1000</f>
        <v>44.82969</v>
      </c>
      <c r="U24" s="150">
        <v>0</v>
      </c>
      <c r="V24" s="150">
        <f>23800.59/1000</f>
        <v>23.80059</v>
      </c>
      <c r="W24" s="150">
        <v>0</v>
      </c>
      <c r="X24" s="150">
        <f>44829.69/1000</f>
        <v>44.82969</v>
      </c>
      <c r="Y24" s="150">
        <v>0</v>
      </c>
      <c r="Z24" s="150">
        <f>23800.59/1000</f>
        <v>23.80059</v>
      </c>
      <c r="AA24" s="150">
        <v>0</v>
      </c>
      <c r="AB24" s="150">
        <f>13029.7/1000</f>
        <v>13.0297</v>
      </c>
      <c r="AC24" s="150">
        <v>0</v>
      </c>
      <c r="AD24" s="150">
        <v>0</v>
      </c>
      <c r="AE24" s="150">
        <v>0</v>
      </c>
      <c r="AF24" s="165"/>
      <c r="AG24" s="155"/>
      <c r="AH24" s="156">
        <f>J24+L24+N24+P24+R24+T24+V24+X24+Z24+AB24+AD24+H24</f>
        <v>311.29999</v>
      </c>
    </row>
    <row r="25" spans="1:34" s="18" customFormat="1" ht="96" customHeight="1">
      <c r="A25" s="45" t="s">
        <v>115</v>
      </c>
      <c r="B25" s="129"/>
      <c r="C25" s="131"/>
      <c r="D25" s="131"/>
      <c r="E25" s="131"/>
      <c r="F25" s="138"/>
      <c r="G25" s="138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66"/>
      <c r="AH25" s="98"/>
    </row>
    <row r="26" spans="1:34" s="18" customFormat="1" ht="18.75">
      <c r="A26" s="117" t="s">
        <v>28</v>
      </c>
      <c r="B26" s="127">
        <f aca="true" t="shared" si="4" ref="B26:AE26">B27</f>
        <v>565.0000000000001</v>
      </c>
      <c r="C26" s="127">
        <f t="shared" si="4"/>
        <v>7.738</v>
      </c>
      <c r="D26" s="127">
        <f t="shared" si="4"/>
        <v>7.738</v>
      </c>
      <c r="E26" s="127">
        <f t="shared" si="4"/>
        <v>7.74</v>
      </c>
      <c r="F26" s="136">
        <f>E26/B26</f>
        <v>0.013699115044247786</v>
      </c>
      <c r="G26" s="136">
        <f>E26/C26</f>
        <v>1.0002584647195658</v>
      </c>
      <c r="H26" s="128">
        <f t="shared" si="4"/>
        <v>0</v>
      </c>
      <c r="I26" s="128">
        <f t="shared" si="4"/>
        <v>0</v>
      </c>
      <c r="J26" s="128">
        <f t="shared" si="4"/>
        <v>7.738</v>
      </c>
      <c r="K26" s="128">
        <f t="shared" si="4"/>
        <v>5.97</v>
      </c>
      <c r="L26" s="128">
        <f t="shared" si="4"/>
        <v>0</v>
      </c>
      <c r="M26" s="128">
        <f t="shared" si="4"/>
        <v>1.77</v>
      </c>
      <c r="N26" s="128">
        <f t="shared" si="4"/>
        <v>89.648</v>
      </c>
      <c r="O26" s="128">
        <f t="shared" si="4"/>
        <v>0</v>
      </c>
      <c r="P26" s="128">
        <f t="shared" si="4"/>
        <v>444.4</v>
      </c>
      <c r="Q26" s="128">
        <f t="shared" si="4"/>
        <v>0</v>
      </c>
      <c r="R26" s="128">
        <f t="shared" si="4"/>
        <v>7.738</v>
      </c>
      <c r="S26" s="128">
        <f t="shared" si="4"/>
        <v>0</v>
      </c>
      <c r="T26" s="128">
        <f t="shared" si="4"/>
        <v>0</v>
      </c>
      <c r="U26" s="128">
        <f t="shared" si="4"/>
        <v>0</v>
      </c>
      <c r="V26" s="128">
        <f t="shared" si="4"/>
        <v>7.738</v>
      </c>
      <c r="W26" s="128">
        <f t="shared" si="4"/>
        <v>0</v>
      </c>
      <c r="X26" s="128">
        <f t="shared" si="4"/>
        <v>0</v>
      </c>
      <c r="Y26" s="128">
        <f t="shared" si="4"/>
        <v>0</v>
      </c>
      <c r="Z26" s="128">
        <f t="shared" si="4"/>
        <v>7.738</v>
      </c>
      <c r="AA26" s="128">
        <f t="shared" si="4"/>
        <v>0</v>
      </c>
      <c r="AB26" s="128">
        <f t="shared" si="4"/>
        <v>0</v>
      </c>
      <c r="AC26" s="128">
        <f t="shared" si="4"/>
        <v>0</v>
      </c>
      <c r="AD26" s="128">
        <f t="shared" si="4"/>
        <v>0</v>
      </c>
      <c r="AE26" s="128">
        <f t="shared" si="4"/>
        <v>0</v>
      </c>
      <c r="AF26" s="167"/>
      <c r="AH26" s="98"/>
    </row>
    <row r="27" spans="1:34" s="152" customFormat="1" ht="18.75">
      <c r="A27" s="148" t="s">
        <v>25</v>
      </c>
      <c r="B27" s="149">
        <f>H27+J27+L27+N27+P27+R27+T27+V27+X27+Z27+AB27+AD27</f>
        <v>565.0000000000001</v>
      </c>
      <c r="C27" s="150">
        <f>H27+J27+L27</f>
        <v>7.738</v>
      </c>
      <c r="D27" s="150">
        <f>7738/1000</f>
        <v>7.738</v>
      </c>
      <c r="E27" s="150">
        <f>I27+K27+M27+O27+Q27+S27+U27+W27+Y27+AA27+AC27+AE27</f>
        <v>7.74</v>
      </c>
      <c r="F27" s="151">
        <f>E27/B27</f>
        <v>0.013699115044247786</v>
      </c>
      <c r="G27" s="151">
        <f>E27/C27</f>
        <v>1.0002584647195658</v>
      </c>
      <c r="H27" s="150">
        <v>0</v>
      </c>
      <c r="I27" s="150">
        <v>0</v>
      </c>
      <c r="J27" s="150">
        <f>7738/1000</f>
        <v>7.738</v>
      </c>
      <c r="K27" s="150">
        <v>5.97</v>
      </c>
      <c r="L27" s="150">
        <v>0</v>
      </c>
      <c r="M27" s="150">
        <v>1.77</v>
      </c>
      <c r="N27" s="150">
        <f>89648/1000</f>
        <v>89.648</v>
      </c>
      <c r="O27" s="150">
        <v>0</v>
      </c>
      <c r="P27" s="150">
        <f>444400/1000</f>
        <v>444.4</v>
      </c>
      <c r="Q27" s="150">
        <v>0</v>
      </c>
      <c r="R27" s="150">
        <f>7738/1000</f>
        <v>7.738</v>
      </c>
      <c r="S27" s="150">
        <v>0</v>
      </c>
      <c r="T27" s="150">
        <v>0</v>
      </c>
      <c r="U27" s="150">
        <v>0</v>
      </c>
      <c r="V27" s="150">
        <f>7738/1000</f>
        <v>7.738</v>
      </c>
      <c r="W27" s="150">
        <v>0</v>
      </c>
      <c r="X27" s="150">
        <v>0</v>
      </c>
      <c r="Y27" s="150">
        <v>0</v>
      </c>
      <c r="Z27" s="150">
        <f>7738/1000</f>
        <v>7.738</v>
      </c>
      <c r="AA27" s="150">
        <v>0</v>
      </c>
      <c r="AB27" s="150">
        <v>0</v>
      </c>
      <c r="AC27" s="150">
        <v>0</v>
      </c>
      <c r="AD27" s="150">
        <v>0</v>
      </c>
      <c r="AE27" s="150">
        <v>0</v>
      </c>
      <c r="AF27" s="168"/>
      <c r="AH27" s="153"/>
    </row>
    <row r="28" spans="1:34" s="18" customFormat="1" ht="37.5">
      <c r="A28" s="45" t="s">
        <v>116</v>
      </c>
      <c r="B28" s="129"/>
      <c r="C28" s="131"/>
      <c r="D28" s="131"/>
      <c r="E28" s="131"/>
      <c r="F28" s="138"/>
      <c r="G28" s="137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23" t="s">
        <v>169</v>
      </c>
      <c r="AH28" s="98"/>
    </row>
    <row r="29" spans="1:34" s="18" customFormat="1" ht="20.25">
      <c r="A29" s="117" t="s">
        <v>28</v>
      </c>
      <c r="B29" s="127">
        <f>B30</f>
        <v>1393.3000000000002</v>
      </c>
      <c r="C29" s="127">
        <f aca="true" t="shared" si="5" ref="C29:AE29">C30</f>
        <v>0</v>
      </c>
      <c r="D29" s="127">
        <f t="shared" si="5"/>
        <v>0</v>
      </c>
      <c r="E29" s="127">
        <f t="shared" si="5"/>
        <v>0</v>
      </c>
      <c r="F29" s="136">
        <f>E29/B29</f>
        <v>0</v>
      </c>
      <c r="G29" s="136">
        <v>0</v>
      </c>
      <c r="H29" s="127">
        <f t="shared" si="5"/>
        <v>0</v>
      </c>
      <c r="I29" s="127">
        <f t="shared" si="5"/>
        <v>0</v>
      </c>
      <c r="J29" s="127">
        <f t="shared" si="5"/>
        <v>0</v>
      </c>
      <c r="K29" s="127">
        <f t="shared" si="5"/>
        <v>0</v>
      </c>
      <c r="L29" s="127">
        <f t="shared" si="5"/>
        <v>0</v>
      </c>
      <c r="M29" s="127">
        <f t="shared" si="5"/>
        <v>0</v>
      </c>
      <c r="N29" s="127">
        <f t="shared" si="5"/>
        <v>0</v>
      </c>
      <c r="O29" s="127">
        <f t="shared" si="5"/>
        <v>0</v>
      </c>
      <c r="P29" s="127">
        <f t="shared" si="5"/>
        <v>0</v>
      </c>
      <c r="Q29" s="127">
        <f t="shared" si="5"/>
        <v>0</v>
      </c>
      <c r="R29" s="127">
        <f t="shared" si="5"/>
        <v>464.45320000000004</v>
      </c>
      <c r="S29" s="127">
        <f t="shared" si="5"/>
        <v>0</v>
      </c>
      <c r="T29" s="127">
        <f t="shared" si="5"/>
        <v>464.4234</v>
      </c>
      <c r="U29" s="127">
        <f t="shared" si="5"/>
        <v>0</v>
      </c>
      <c r="V29" s="127">
        <f t="shared" si="5"/>
        <v>464.4234</v>
      </c>
      <c r="W29" s="127">
        <f t="shared" si="5"/>
        <v>0</v>
      </c>
      <c r="X29" s="127">
        <f t="shared" si="5"/>
        <v>0</v>
      </c>
      <c r="Y29" s="127">
        <f t="shared" si="5"/>
        <v>0</v>
      </c>
      <c r="Z29" s="127">
        <f t="shared" si="5"/>
        <v>0</v>
      </c>
      <c r="AA29" s="127">
        <f t="shared" si="5"/>
        <v>0</v>
      </c>
      <c r="AB29" s="127">
        <f t="shared" si="5"/>
        <v>0</v>
      </c>
      <c r="AC29" s="127">
        <f t="shared" si="5"/>
        <v>0</v>
      </c>
      <c r="AD29" s="127">
        <f t="shared" si="5"/>
        <v>0</v>
      </c>
      <c r="AE29" s="127">
        <f t="shared" si="5"/>
        <v>0</v>
      </c>
      <c r="AF29" s="119"/>
      <c r="AG29" s="92"/>
      <c r="AH29" s="98"/>
    </row>
    <row r="30" spans="1:34" s="152" customFormat="1" ht="20.25">
      <c r="A30" s="148" t="s">
        <v>25</v>
      </c>
      <c r="B30" s="149">
        <f>H30+J30+L30+N30+P30+R30+T30+V30+X30+Z30+AB30+AD30</f>
        <v>1393.3000000000002</v>
      </c>
      <c r="C30" s="150">
        <f>H30+J30+L30</f>
        <v>0</v>
      </c>
      <c r="D30" s="150">
        <v>0</v>
      </c>
      <c r="E30" s="150">
        <f>I30+K30+M30+O30+Q30+S30+U30+W30+Y30+AA30+AC30+AE30</f>
        <v>0</v>
      </c>
      <c r="F30" s="151">
        <f>E30/B30</f>
        <v>0</v>
      </c>
      <c r="G30" s="151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0">
        <f>464453.2/1000</f>
        <v>464.45320000000004</v>
      </c>
      <c r="S30" s="150">
        <v>0</v>
      </c>
      <c r="T30" s="150">
        <f>464423.4/1000</f>
        <v>464.4234</v>
      </c>
      <c r="U30" s="150">
        <v>0</v>
      </c>
      <c r="V30" s="150">
        <f>464423.4/1000</f>
        <v>464.4234</v>
      </c>
      <c r="W30" s="150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65"/>
      <c r="AG30" s="155"/>
      <c r="AH30" s="156">
        <f>R30+T30+V30</f>
        <v>1393.3000000000002</v>
      </c>
    </row>
    <row r="31" spans="1:34" s="18" customFormat="1" ht="19.5" customHeight="1">
      <c r="A31" s="45" t="s">
        <v>117</v>
      </c>
      <c r="B31" s="129"/>
      <c r="C31" s="130"/>
      <c r="D31" s="130"/>
      <c r="E31" s="130"/>
      <c r="F31" s="137"/>
      <c r="G31" s="137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65"/>
      <c r="AH31" s="98"/>
    </row>
    <row r="32" spans="1:34" s="18" customFormat="1" ht="18.75">
      <c r="A32" s="117" t="s">
        <v>28</v>
      </c>
      <c r="B32" s="127">
        <f aca="true" t="shared" si="6" ref="B32:AE32">B33</f>
        <v>72.3</v>
      </c>
      <c r="C32" s="127">
        <f t="shared" si="6"/>
        <v>0</v>
      </c>
      <c r="D32" s="127">
        <f t="shared" si="6"/>
        <v>0</v>
      </c>
      <c r="E32" s="127">
        <f t="shared" si="6"/>
        <v>0</v>
      </c>
      <c r="F32" s="136">
        <f>E32/B32</f>
        <v>0</v>
      </c>
      <c r="G32" s="136">
        <v>0</v>
      </c>
      <c r="H32" s="128">
        <f t="shared" si="6"/>
        <v>0</v>
      </c>
      <c r="I32" s="128">
        <f t="shared" si="6"/>
        <v>0</v>
      </c>
      <c r="J32" s="128">
        <f t="shared" si="6"/>
        <v>0</v>
      </c>
      <c r="K32" s="128">
        <f t="shared" si="6"/>
        <v>0</v>
      </c>
      <c r="L32" s="128">
        <f t="shared" si="6"/>
        <v>0</v>
      </c>
      <c r="M32" s="128">
        <f t="shared" si="6"/>
        <v>0</v>
      </c>
      <c r="N32" s="128">
        <f t="shared" si="6"/>
        <v>72.3</v>
      </c>
      <c r="O32" s="128">
        <f t="shared" si="6"/>
        <v>0</v>
      </c>
      <c r="P32" s="128">
        <f t="shared" si="6"/>
        <v>0</v>
      </c>
      <c r="Q32" s="128">
        <f t="shared" si="6"/>
        <v>0</v>
      </c>
      <c r="R32" s="128">
        <f t="shared" si="6"/>
        <v>0</v>
      </c>
      <c r="S32" s="128">
        <f t="shared" si="6"/>
        <v>0</v>
      </c>
      <c r="T32" s="128">
        <f t="shared" si="6"/>
        <v>0</v>
      </c>
      <c r="U32" s="128">
        <f t="shared" si="6"/>
        <v>0</v>
      </c>
      <c r="V32" s="128">
        <f t="shared" si="6"/>
        <v>0</v>
      </c>
      <c r="W32" s="128">
        <f t="shared" si="6"/>
        <v>0</v>
      </c>
      <c r="X32" s="128">
        <f t="shared" si="6"/>
        <v>0</v>
      </c>
      <c r="Y32" s="128">
        <f t="shared" si="6"/>
        <v>0</v>
      </c>
      <c r="Z32" s="128">
        <f t="shared" si="6"/>
        <v>0</v>
      </c>
      <c r="AA32" s="128">
        <f t="shared" si="6"/>
        <v>0</v>
      </c>
      <c r="AB32" s="128">
        <f t="shared" si="6"/>
        <v>0</v>
      </c>
      <c r="AC32" s="128">
        <f t="shared" si="6"/>
        <v>0</v>
      </c>
      <c r="AD32" s="128">
        <f t="shared" si="6"/>
        <v>0</v>
      </c>
      <c r="AE32" s="128">
        <f t="shared" si="6"/>
        <v>0</v>
      </c>
      <c r="AF32" s="119"/>
      <c r="AH32" s="98"/>
    </row>
    <row r="33" spans="1:34" s="152" customFormat="1" ht="18.75">
      <c r="A33" s="148" t="s">
        <v>25</v>
      </c>
      <c r="B33" s="149">
        <f>H33+J33+L33+N33+P33+R33+T33+V33+X33+Z33+AB33+AD33</f>
        <v>72.3</v>
      </c>
      <c r="C33" s="150">
        <f>H33+J33+L33</f>
        <v>0</v>
      </c>
      <c r="D33" s="150"/>
      <c r="E33" s="150">
        <f>I33+K33+M33+O33+Q33+S33+U33+W33+Y33+AA33+AC33+AE33</f>
        <v>0</v>
      </c>
      <c r="F33" s="151">
        <f>E33/B33</f>
        <v>0</v>
      </c>
      <c r="G33" s="151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f>72300/1000</f>
        <v>72.3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65" t="s">
        <v>170</v>
      </c>
      <c r="AH33" s="153"/>
    </row>
    <row r="34" spans="1:34" s="18" customFormat="1" ht="56.25">
      <c r="A34" s="45" t="s">
        <v>118</v>
      </c>
      <c r="B34" s="129"/>
      <c r="C34" s="131"/>
      <c r="D34" s="131"/>
      <c r="E34" s="131"/>
      <c r="F34" s="138"/>
      <c r="G34" s="138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65"/>
      <c r="AH34" s="98"/>
    </row>
    <row r="35" spans="1:34" s="18" customFormat="1" ht="18.75">
      <c r="A35" s="117" t="s">
        <v>28</v>
      </c>
      <c r="B35" s="127">
        <f aca="true" t="shared" si="7" ref="B35:AE35">B36</f>
        <v>0</v>
      </c>
      <c r="C35" s="127">
        <f t="shared" si="7"/>
        <v>0</v>
      </c>
      <c r="D35" s="127">
        <f t="shared" si="7"/>
        <v>0</v>
      </c>
      <c r="E35" s="127">
        <f t="shared" si="7"/>
        <v>0</v>
      </c>
      <c r="F35" s="136">
        <v>0</v>
      </c>
      <c r="G35" s="136">
        <v>0</v>
      </c>
      <c r="H35" s="128">
        <f t="shared" si="7"/>
        <v>0</v>
      </c>
      <c r="I35" s="128">
        <f t="shared" si="7"/>
        <v>0</v>
      </c>
      <c r="J35" s="128">
        <f t="shared" si="7"/>
        <v>0</v>
      </c>
      <c r="K35" s="128">
        <f t="shared" si="7"/>
        <v>0</v>
      </c>
      <c r="L35" s="128">
        <f t="shared" si="7"/>
        <v>0</v>
      </c>
      <c r="M35" s="128">
        <f t="shared" si="7"/>
        <v>0</v>
      </c>
      <c r="N35" s="128">
        <f t="shared" si="7"/>
        <v>0</v>
      </c>
      <c r="O35" s="128">
        <f t="shared" si="7"/>
        <v>0</v>
      </c>
      <c r="P35" s="128">
        <f t="shared" si="7"/>
        <v>0</v>
      </c>
      <c r="Q35" s="128">
        <f t="shared" si="7"/>
        <v>0</v>
      </c>
      <c r="R35" s="128">
        <f t="shared" si="7"/>
        <v>0</v>
      </c>
      <c r="S35" s="128">
        <f t="shared" si="7"/>
        <v>0</v>
      </c>
      <c r="T35" s="128">
        <f t="shared" si="7"/>
        <v>0</v>
      </c>
      <c r="U35" s="128">
        <f t="shared" si="7"/>
        <v>0</v>
      </c>
      <c r="V35" s="128">
        <f t="shared" si="7"/>
        <v>0</v>
      </c>
      <c r="W35" s="128">
        <f t="shared" si="7"/>
        <v>0</v>
      </c>
      <c r="X35" s="128">
        <f t="shared" si="7"/>
        <v>0</v>
      </c>
      <c r="Y35" s="128">
        <f t="shared" si="7"/>
        <v>0</v>
      </c>
      <c r="Z35" s="128">
        <f t="shared" si="7"/>
        <v>0</v>
      </c>
      <c r="AA35" s="128">
        <f t="shared" si="7"/>
        <v>0</v>
      </c>
      <c r="AB35" s="128">
        <f t="shared" si="7"/>
        <v>0</v>
      </c>
      <c r="AC35" s="128">
        <f t="shared" si="7"/>
        <v>0</v>
      </c>
      <c r="AD35" s="128">
        <f t="shared" si="7"/>
        <v>0</v>
      </c>
      <c r="AE35" s="128">
        <f t="shared" si="7"/>
        <v>0</v>
      </c>
      <c r="AF35" s="119"/>
      <c r="AH35" s="98"/>
    </row>
    <row r="36" spans="1:34" s="159" customFormat="1" ht="18.75">
      <c r="A36" s="148" t="s">
        <v>25</v>
      </c>
      <c r="B36" s="149">
        <f>H36+J36+L36+N36+P36+R36+T36+V36+X36+Z36+AB36+AD36</f>
        <v>0</v>
      </c>
      <c r="C36" s="150">
        <f>H36+J36+L36</f>
        <v>0</v>
      </c>
      <c r="D36" s="150">
        <f>H36+J36+L36+N36+P36+R36+T36+V36</f>
        <v>0</v>
      </c>
      <c r="E36" s="150">
        <f>I36+K36+M36+O36+Q36+S36+U36+W36+Y36+AA36+AC36+AE36</f>
        <v>0</v>
      </c>
      <c r="F36" s="151">
        <v>0</v>
      </c>
      <c r="G36" s="151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8"/>
      <c r="AH36" s="160"/>
    </row>
    <row r="37" spans="1:34" s="18" customFormat="1" ht="18.75">
      <c r="A37" s="124" t="s">
        <v>153</v>
      </c>
      <c r="B37" s="132">
        <f>B38+B39</f>
        <v>8983.39999</v>
      </c>
      <c r="C37" s="132">
        <f>C38+C39</f>
        <v>333.26285</v>
      </c>
      <c r="D37" s="132">
        <f aca="true" t="shared" si="8" ref="D37:AE37">D38+D39</f>
        <v>333.26285</v>
      </c>
      <c r="E37" s="132">
        <f t="shared" si="8"/>
        <v>149.75</v>
      </c>
      <c r="F37" s="139">
        <f>E37/B37</f>
        <v>0.016669635123304802</v>
      </c>
      <c r="G37" s="139">
        <f>E37/C37</f>
        <v>0.449345014003211</v>
      </c>
      <c r="H37" s="132">
        <f t="shared" si="8"/>
        <v>65.7896</v>
      </c>
      <c r="I37" s="132">
        <f t="shared" si="8"/>
        <v>0</v>
      </c>
      <c r="J37" s="132">
        <f t="shared" si="8"/>
        <v>75.46415</v>
      </c>
      <c r="K37" s="132">
        <f t="shared" si="8"/>
        <v>54.129999999999995</v>
      </c>
      <c r="L37" s="132">
        <f t="shared" si="8"/>
        <v>192.0091</v>
      </c>
      <c r="M37" s="132">
        <f t="shared" si="8"/>
        <v>95.62</v>
      </c>
      <c r="N37" s="132">
        <f t="shared" si="8"/>
        <v>330.31361</v>
      </c>
      <c r="O37" s="132">
        <f t="shared" si="8"/>
        <v>0</v>
      </c>
      <c r="P37" s="132">
        <f t="shared" si="8"/>
        <v>633.8476999999999</v>
      </c>
      <c r="Q37" s="132">
        <f t="shared" si="8"/>
        <v>0</v>
      </c>
      <c r="R37" s="132">
        <f t="shared" si="8"/>
        <v>2380.6828000000005</v>
      </c>
      <c r="S37" s="132">
        <f t="shared" si="8"/>
        <v>0</v>
      </c>
      <c r="T37" s="132">
        <f t="shared" si="8"/>
        <v>2393.84358</v>
      </c>
      <c r="U37" s="132">
        <f t="shared" si="8"/>
        <v>0</v>
      </c>
      <c r="V37" s="132">
        <f t="shared" si="8"/>
        <v>2380.5124800000003</v>
      </c>
      <c r="W37" s="132">
        <f t="shared" si="8"/>
        <v>0</v>
      </c>
      <c r="X37" s="132">
        <f t="shared" si="8"/>
        <v>181.37601999999998</v>
      </c>
      <c r="Y37" s="132">
        <f t="shared" si="8"/>
        <v>0</v>
      </c>
      <c r="Z37" s="132">
        <f>Z38+Z39</f>
        <v>170.12866</v>
      </c>
      <c r="AA37" s="132">
        <f t="shared" si="8"/>
        <v>0</v>
      </c>
      <c r="AB37" s="132">
        <f t="shared" si="8"/>
        <v>179.43229</v>
      </c>
      <c r="AC37" s="132">
        <f t="shared" si="8"/>
        <v>0</v>
      </c>
      <c r="AD37" s="132">
        <f t="shared" si="8"/>
        <v>0</v>
      </c>
      <c r="AE37" s="132">
        <f t="shared" si="8"/>
        <v>0</v>
      </c>
      <c r="AF37" s="125"/>
      <c r="AH37" s="98"/>
    </row>
    <row r="38" spans="1:34" s="18" customFormat="1" ht="18.75">
      <c r="A38" s="126" t="s">
        <v>24</v>
      </c>
      <c r="B38" s="133">
        <f>B15+B19+B23</f>
        <v>1415.3</v>
      </c>
      <c r="C38" s="133">
        <f>C15+C19+C23</f>
        <v>109.38665999999999</v>
      </c>
      <c r="D38" s="133">
        <f>D15+D19+D23</f>
        <v>109.38665999999999</v>
      </c>
      <c r="E38" s="133">
        <f>E15+E19+E23</f>
        <v>61.03</v>
      </c>
      <c r="F38" s="140">
        <f>E38/B38</f>
        <v>0.043121599660849295</v>
      </c>
      <c r="G38" s="140">
        <f>E38/C38</f>
        <v>0.5579290929990915</v>
      </c>
      <c r="H38" s="133">
        <f aca="true" t="shared" si="9" ref="H38:AE38">H15+H19+H23</f>
        <v>0</v>
      </c>
      <c r="I38" s="133">
        <f t="shared" si="9"/>
        <v>0</v>
      </c>
      <c r="J38" s="133">
        <f t="shared" si="9"/>
        <v>36.34055</v>
      </c>
      <c r="K38" s="133">
        <f t="shared" si="9"/>
        <v>9.219999999999999</v>
      </c>
      <c r="L38" s="133">
        <f t="shared" si="9"/>
        <v>73.04611</v>
      </c>
      <c r="M38" s="133">
        <f t="shared" si="9"/>
        <v>51.81</v>
      </c>
      <c r="N38" s="133">
        <f t="shared" si="9"/>
        <v>62.34267</v>
      </c>
      <c r="O38" s="133">
        <f t="shared" si="9"/>
        <v>0</v>
      </c>
      <c r="P38" s="133">
        <f t="shared" si="9"/>
        <v>62.40666999999999</v>
      </c>
      <c r="Q38" s="133">
        <f t="shared" si="9"/>
        <v>0</v>
      </c>
      <c r="R38" s="133">
        <f t="shared" si="9"/>
        <v>307.204</v>
      </c>
      <c r="S38" s="133">
        <f t="shared" si="9"/>
        <v>0</v>
      </c>
      <c r="T38" s="133">
        <f t="shared" si="9"/>
        <v>91.619</v>
      </c>
      <c r="U38" s="133">
        <f t="shared" si="9"/>
        <v>0</v>
      </c>
      <c r="V38" s="133">
        <f t="shared" si="9"/>
        <v>574.809</v>
      </c>
      <c r="W38" s="133">
        <f t="shared" si="9"/>
        <v>0</v>
      </c>
      <c r="X38" s="133">
        <f t="shared" si="9"/>
        <v>58.544</v>
      </c>
      <c r="Y38" s="133">
        <f t="shared" si="9"/>
        <v>0</v>
      </c>
      <c r="Z38" s="133">
        <f t="shared" si="9"/>
        <v>60.58774</v>
      </c>
      <c r="AA38" s="133">
        <f t="shared" si="9"/>
        <v>0</v>
      </c>
      <c r="AB38" s="133">
        <f t="shared" si="9"/>
        <v>88.40025999999999</v>
      </c>
      <c r="AC38" s="133">
        <f t="shared" si="9"/>
        <v>0</v>
      </c>
      <c r="AD38" s="133">
        <f t="shared" si="9"/>
        <v>0</v>
      </c>
      <c r="AE38" s="133">
        <f t="shared" si="9"/>
        <v>0</v>
      </c>
      <c r="AF38" s="125"/>
      <c r="AH38" s="98"/>
    </row>
    <row r="39" spans="1:34" s="18" customFormat="1" ht="18.75">
      <c r="A39" s="126" t="s">
        <v>25</v>
      </c>
      <c r="B39" s="133">
        <f>B16+B20+B24+B27+B30+B33+B36</f>
        <v>7568.099990000001</v>
      </c>
      <c r="C39" s="133">
        <f>C16+C20+C24+C27+C30+C33+C36</f>
        <v>223.87619</v>
      </c>
      <c r="D39" s="133">
        <f>D16+D20+D24+D27+D30+D33+D36</f>
        <v>223.87619</v>
      </c>
      <c r="E39" s="133">
        <f>E16+E20+E24+E27+E30+E33+E36</f>
        <v>88.71999999999998</v>
      </c>
      <c r="F39" s="140">
        <f>E39/B39</f>
        <v>0.011722889512193135</v>
      </c>
      <c r="G39" s="140">
        <f>E39/C39</f>
        <v>0.39629046751242275</v>
      </c>
      <c r="H39" s="133">
        <f aca="true" t="shared" si="10" ref="H39:AE39">H16+H20+H24+H27+H30+H33+H36</f>
        <v>65.7896</v>
      </c>
      <c r="I39" s="133">
        <f t="shared" si="10"/>
        <v>0</v>
      </c>
      <c r="J39" s="133">
        <f t="shared" si="10"/>
        <v>39.1236</v>
      </c>
      <c r="K39" s="133">
        <f t="shared" si="10"/>
        <v>44.91</v>
      </c>
      <c r="L39" s="133">
        <f t="shared" si="10"/>
        <v>118.96298999999999</v>
      </c>
      <c r="M39" s="133">
        <f t="shared" si="10"/>
        <v>43.81</v>
      </c>
      <c r="N39" s="133">
        <f t="shared" si="10"/>
        <v>267.97094</v>
      </c>
      <c r="O39" s="133">
        <f t="shared" si="10"/>
        <v>0</v>
      </c>
      <c r="P39" s="133">
        <f t="shared" si="10"/>
        <v>571.44103</v>
      </c>
      <c r="Q39" s="133">
        <f t="shared" si="10"/>
        <v>0</v>
      </c>
      <c r="R39" s="133">
        <f t="shared" si="10"/>
        <v>2073.4788000000003</v>
      </c>
      <c r="S39" s="133">
        <f t="shared" si="10"/>
        <v>0</v>
      </c>
      <c r="T39" s="133">
        <f t="shared" si="10"/>
        <v>2302.22458</v>
      </c>
      <c r="U39" s="133">
        <f t="shared" si="10"/>
        <v>0</v>
      </c>
      <c r="V39" s="133">
        <f t="shared" si="10"/>
        <v>1805.7034800000001</v>
      </c>
      <c r="W39" s="133">
        <f t="shared" si="10"/>
        <v>0</v>
      </c>
      <c r="X39" s="133">
        <f t="shared" si="10"/>
        <v>122.83202</v>
      </c>
      <c r="Y39" s="133">
        <f t="shared" si="10"/>
        <v>0</v>
      </c>
      <c r="Z39" s="133">
        <f t="shared" si="10"/>
        <v>109.54092</v>
      </c>
      <c r="AA39" s="133">
        <f t="shared" si="10"/>
        <v>0</v>
      </c>
      <c r="AB39" s="133">
        <f t="shared" si="10"/>
        <v>91.03203</v>
      </c>
      <c r="AC39" s="133">
        <f t="shared" si="10"/>
        <v>0</v>
      </c>
      <c r="AD39" s="133">
        <f t="shared" si="10"/>
        <v>0</v>
      </c>
      <c r="AE39" s="133">
        <f t="shared" si="10"/>
        <v>0</v>
      </c>
      <c r="AF39" s="125"/>
      <c r="AH39" s="98"/>
    </row>
    <row r="40" spans="1:34" s="18" customFormat="1" ht="56.25">
      <c r="A40" s="5" t="s">
        <v>119</v>
      </c>
      <c r="B40" s="134"/>
      <c r="C40" s="131"/>
      <c r="D40" s="131"/>
      <c r="E40" s="131"/>
      <c r="F40" s="138"/>
      <c r="G40" s="138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20"/>
      <c r="AH40" s="98"/>
    </row>
    <row r="41" spans="1:34" s="18" customFormat="1" ht="18.75">
      <c r="A41" s="4" t="s">
        <v>22</v>
      </c>
      <c r="B41" s="129"/>
      <c r="C41" s="131"/>
      <c r="D41" s="131"/>
      <c r="E41" s="131"/>
      <c r="F41" s="138"/>
      <c r="G41" s="138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20"/>
      <c r="AH41" s="98"/>
    </row>
    <row r="42" spans="1:34" s="18" customFormat="1" ht="81" customHeight="1">
      <c r="A42" s="45" t="s">
        <v>120</v>
      </c>
      <c r="B42" s="129"/>
      <c r="C42" s="131"/>
      <c r="D42" s="131"/>
      <c r="E42" s="131"/>
      <c r="F42" s="138"/>
      <c r="G42" s="138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66" t="s">
        <v>171</v>
      </c>
      <c r="AH42" s="98"/>
    </row>
    <row r="43" spans="1:34" s="18" customFormat="1" ht="18.75">
      <c r="A43" s="117" t="s">
        <v>28</v>
      </c>
      <c r="B43" s="127">
        <f aca="true" t="shared" si="11" ref="B43:AE43">B44</f>
        <v>8524.3</v>
      </c>
      <c r="C43" s="127">
        <f t="shared" si="11"/>
        <v>1300</v>
      </c>
      <c r="D43" s="127">
        <f t="shared" si="11"/>
        <v>1300</v>
      </c>
      <c r="E43" s="127">
        <f t="shared" si="11"/>
        <v>1145.44</v>
      </c>
      <c r="F43" s="136">
        <f>E43/B43</f>
        <v>0.1343734969440306</v>
      </c>
      <c r="G43" s="136">
        <f>E43/C43</f>
        <v>0.8811076923076924</v>
      </c>
      <c r="H43" s="128">
        <f t="shared" si="11"/>
        <v>0</v>
      </c>
      <c r="I43" s="128">
        <f t="shared" si="11"/>
        <v>0</v>
      </c>
      <c r="J43" s="128">
        <f t="shared" si="11"/>
        <v>600</v>
      </c>
      <c r="K43" s="128">
        <f t="shared" si="11"/>
        <v>391.85</v>
      </c>
      <c r="L43" s="128">
        <f t="shared" si="11"/>
        <v>700</v>
      </c>
      <c r="M43" s="128">
        <f t="shared" si="11"/>
        <v>753.59</v>
      </c>
      <c r="N43" s="128">
        <f t="shared" si="11"/>
        <v>750</v>
      </c>
      <c r="O43" s="128">
        <f t="shared" si="11"/>
        <v>0</v>
      </c>
      <c r="P43" s="128">
        <f t="shared" si="11"/>
        <v>700</v>
      </c>
      <c r="Q43" s="128">
        <f t="shared" si="11"/>
        <v>0</v>
      </c>
      <c r="R43" s="128">
        <f t="shared" si="11"/>
        <v>600</v>
      </c>
      <c r="S43" s="128">
        <f t="shared" si="11"/>
        <v>0</v>
      </c>
      <c r="T43" s="128">
        <f t="shared" si="11"/>
        <v>560</v>
      </c>
      <c r="U43" s="128">
        <f t="shared" si="11"/>
        <v>0</v>
      </c>
      <c r="V43" s="128">
        <f t="shared" si="11"/>
        <v>650</v>
      </c>
      <c r="W43" s="128">
        <f t="shared" si="11"/>
        <v>0</v>
      </c>
      <c r="X43" s="128">
        <f t="shared" si="11"/>
        <v>600</v>
      </c>
      <c r="Y43" s="128">
        <f t="shared" si="11"/>
        <v>0</v>
      </c>
      <c r="Z43" s="128">
        <f t="shared" si="11"/>
        <v>850</v>
      </c>
      <c r="AA43" s="128">
        <f t="shared" si="11"/>
        <v>0</v>
      </c>
      <c r="AB43" s="128">
        <f t="shared" si="11"/>
        <v>750</v>
      </c>
      <c r="AC43" s="128">
        <f t="shared" si="11"/>
        <v>0</v>
      </c>
      <c r="AD43" s="128">
        <f t="shared" si="11"/>
        <v>1764.3</v>
      </c>
      <c r="AE43" s="128">
        <f t="shared" si="11"/>
        <v>0</v>
      </c>
      <c r="AF43" s="167"/>
      <c r="AH43" s="98"/>
    </row>
    <row r="44" spans="1:34" s="159" customFormat="1" ht="18.75">
      <c r="A44" s="148" t="s">
        <v>25</v>
      </c>
      <c r="B44" s="149">
        <f>H44+J44+L44+N44+P44+R44+T44+V44+X44+Z44+AB44+AD44</f>
        <v>8524.3</v>
      </c>
      <c r="C44" s="150">
        <f>H44+J44+L44</f>
        <v>1300</v>
      </c>
      <c r="D44" s="150">
        <f>J44+L44</f>
        <v>1300</v>
      </c>
      <c r="E44" s="150">
        <f>I44+K44+M44+O44+Q44+S44+U44+W44+Y44+AA44+AC44+AE44</f>
        <v>1145.44</v>
      </c>
      <c r="F44" s="151">
        <f>E44/B44</f>
        <v>0.1343734969440306</v>
      </c>
      <c r="G44" s="151">
        <f>E44/C44</f>
        <v>0.8811076923076924</v>
      </c>
      <c r="H44" s="150">
        <v>0</v>
      </c>
      <c r="I44" s="150">
        <v>0</v>
      </c>
      <c r="J44" s="150">
        <v>600</v>
      </c>
      <c r="K44" s="150">
        <v>391.85</v>
      </c>
      <c r="L44" s="150">
        <v>700</v>
      </c>
      <c r="M44" s="150">
        <v>753.59</v>
      </c>
      <c r="N44" s="150">
        <v>750</v>
      </c>
      <c r="O44" s="150">
        <v>0</v>
      </c>
      <c r="P44" s="150">
        <v>700</v>
      </c>
      <c r="Q44" s="150">
        <v>0</v>
      </c>
      <c r="R44" s="150">
        <v>600</v>
      </c>
      <c r="S44" s="150">
        <v>0</v>
      </c>
      <c r="T44" s="150">
        <v>560</v>
      </c>
      <c r="U44" s="150">
        <v>0</v>
      </c>
      <c r="V44" s="150">
        <v>650</v>
      </c>
      <c r="W44" s="150">
        <v>0</v>
      </c>
      <c r="X44" s="150">
        <v>600</v>
      </c>
      <c r="Y44" s="150">
        <v>0</v>
      </c>
      <c r="Z44" s="150">
        <v>850</v>
      </c>
      <c r="AA44" s="150">
        <v>0</v>
      </c>
      <c r="AB44" s="150">
        <v>750</v>
      </c>
      <c r="AC44" s="150">
        <v>0</v>
      </c>
      <c r="AD44" s="150">
        <v>1764.3</v>
      </c>
      <c r="AE44" s="150">
        <v>0</v>
      </c>
      <c r="AF44" s="168"/>
      <c r="AH44" s="160"/>
    </row>
    <row r="45" spans="1:34" s="18" customFormat="1" ht="55.5" customHeight="1">
      <c r="A45" s="114" t="s">
        <v>121</v>
      </c>
      <c r="B45" s="135"/>
      <c r="C45" s="135"/>
      <c r="D45" s="135"/>
      <c r="E45" s="135"/>
      <c r="F45" s="141"/>
      <c r="G45" s="141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21"/>
      <c r="AH45" s="98"/>
    </row>
    <row r="46" spans="1:34" s="18" customFormat="1" ht="88.5" customHeight="1">
      <c r="A46" s="47" t="s">
        <v>151</v>
      </c>
      <c r="B46" s="134"/>
      <c r="C46" s="131"/>
      <c r="D46" s="131"/>
      <c r="E46" s="131"/>
      <c r="F46" s="138"/>
      <c r="G46" s="138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20"/>
      <c r="AH46" s="98"/>
    </row>
    <row r="47" spans="1:34" s="18" customFormat="1" ht="18.75">
      <c r="A47" s="4" t="s">
        <v>22</v>
      </c>
      <c r="B47" s="129"/>
      <c r="C47" s="131"/>
      <c r="D47" s="131"/>
      <c r="E47" s="131"/>
      <c r="F47" s="138"/>
      <c r="G47" s="138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20"/>
      <c r="AH47" s="98"/>
    </row>
    <row r="48" spans="1:34" s="18" customFormat="1" ht="70.5" customHeight="1">
      <c r="A48" s="45" t="s">
        <v>149</v>
      </c>
      <c r="B48" s="129"/>
      <c r="C48" s="131"/>
      <c r="D48" s="131"/>
      <c r="E48" s="131"/>
      <c r="F48" s="138"/>
      <c r="G48" s="138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22"/>
      <c r="AH48" s="98"/>
    </row>
    <row r="49" spans="1:34" s="18" customFormat="1" ht="18.75">
      <c r="A49" s="117" t="s">
        <v>28</v>
      </c>
      <c r="B49" s="127">
        <f>B50</f>
        <v>0</v>
      </c>
      <c r="C49" s="127">
        <f>C50</f>
        <v>0</v>
      </c>
      <c r="D49" s="127">
        <f>D50</f>
        <v>0</v>
      </c>
      <c r="E49" s="127">
        <f aca="true" t="shared" si="12" ref="E49:AE49">E50</f>
        <v>0</v>
      </c>
      <c r="F49" s="136">
        <v>0</v>
      </c>
      <c r="G49" s="136">
        <v>0</v>
      </c>
      <c r="H49" s="127">
        <f t="shared" si="12"/>
        <v>0</v>
      </c>
      <c r="I49" s="127">
        <f t="shared" si="12"/>
        <v>0</v>
      </c>
      <c r="J49" s="127">
        <f t="shared" si="12"/>
        <v>0</v>
      </c>
      <c r="K49" s="127">
        <f t="shared" si="12"/>
        <v>0</v>
      </c>
      <c r="L49" s="127">
        <f t="shared" si="12"/>
        <v>0</v>
      </c>
      <c r="M49" s="127">
        <f t="shared" si="12"/>
        <v>0</v>
      </c>
      <c r="N49" s="127">
        <f t="shared" si="12"/>
        <v>0</v>
      </c>
      <c r="O49" s="127">
        <f t="shared" si="12"/>
        <v>0</v>
      </c>
      <c r="P49" s="127">
        <f t="shared" si="12"/>
        <v>0</v>
      </c>
      <c r="Q49" s="127">
        <f t="shared" si="12"/>
        <v>0</v>
      </c>
      <c r="R49" s="127">
        <f t="shared" si="12"/>
        <v>0</v>
      </c>
      <c r="S49" s="127">
        <f t="shared" si="12"/>
        <v>0</v>
      </c>
      <c r="T49" s="127">
        <f t="shared" si="12"/>
        <v>0</v>
      </c>
      <c r="U49" s="127">
        <f t="shared" si="12"/>
        <v>0</v>
      </c>
      <c r="V49" s="127">
        <f t="shared" si="12"/>
        <v>0</v>
      </c>
      <c r="W49" s="127">
        <f t="shared" si="12"/>
        <v>0</v>
      </c>
      <c r="X49" s="127">
        <f t="shared" si="12"/>
        <v>0</v>
      </c>
      <c r="Y49" s="127">
        <f t="shared" si="12"/>
        <v>0</v>
      </c>
      <c r="Z49" s="127">
        <f t="shared" si="12"/>
        <v>0</v>
      </c>
      <c r="AA49" s="127">
        <f t="shared" si="12"/>
        <v>0</v>
      </c>
      <c r="AB49" s="127">
        <f t="shared" si="12"/>
        <v>0</v>
      </c>
      <c r="AC49" s="127">
        <f t="shared" si="12"/>
        <v>0</v>
      </c>
      <c r="AD49" s="127">
        <f t="shared" si="12"/>
        <v>0</v>
      </c>
      <c r="AE49" s="127">
        <f t="shared" si="12"/>
        <v>0</v>
      </c>
      <c r="AF49" s="119"/>
      <c r="AH49" s="98"/>
    </row>
    <row r="50" spans="1:34" s="152" customFormat="1" ht="18.75">
      <c r="A50" s="148" t="s">
        <v>152</v>
      </c>
      <c r="B50" s="149">
        <f>H50+J50+L50+N50+P50+R50+T50+V50+X50+Z50+AB50+AD50</f>
        <v>0</v>
      </c>
      <c r="C50" s="150">
        <f>H50+J50+L50+N50+P50+R50+T50+V50+X50+Z50+AB50+AD50</f>
        <v>0</v>
      </c>
      <c r="D50" s="150">
        <v>0</v>
      </c>
      <c r="E50" s="150">
        <f>I50+K50+M50+O50+Q50+S50+U50+W50+Y50+AA50+AC50+AE50</f>
        <v>0</v>
      </c>
      <c r="F50" s="151">
        <v>0</v>
      </c>
      <c r="G50" s="151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0</v>
      </c>
      <c r="T50" s="150">
        <v>0</v>
      </c>
      <c r="U50" s="150">
        <v>0</v>
      </c>
      <c r="V50" s="150">
        <v>0</v>
      </c>
      <c r="W50" s="150">
        <v>0</v>
      </c>
      <c r="X50" s="150">
        <v>0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>
        <v>0</v>
      </c>
      <c r="AE50" s="150">
        <v>0</v>
      </c>
      <c r="AF50" s="161"/>
      <c r="AH50" s="153"/>
    </row>
    <row r="51" spans="1:34" s="18" customFormat="1" ht="78" customHeight="1">
      <c r="A51" s="47" t="s">
        <v>150</v>
      </c>
      <c r="B51" s="134"/>
      <c r="C51" s="131"/>
      <c r="D51" s="131"/>
      <c r="E51" s="131"/>
      <c r="F51" s="138"/>
      <c r="G51" s="138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20"/>
      <c r="AH51" s="98"/>
    </row>
    <row r="52" spans="1:34" s="18" customFormat="1" ht="18.75">
      <c r="A52" s="4" t="s">
        <v>22</v>
      </c>
      <c r="B52" s="129"/>
      <c r="C52" s="131"/>
      <c r="D52" s="131"/>
      <c r="E52" s="131"/>
      <c r="F52" s="138"/>
      <c r="G52" s="138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20"/>
      <c r="AH52" s="98"/>
    </row>
    <row r="53" spans="1:34" s="18" customFormat="1" ht="75">
      <c r="A53" s="45" t="s">
        <v>148</v>
      </c>
      <c r="B53" s="129"/>
      <c r="C53" s="131"/>
      <c r="D53" s="131"/>
      <c r="E53" s="131"/>
      <c r="F53" s="138"/>
      <c r="G53" s="138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22"/>
      <c r="AH53" s="98"/>
    </row>
    <row r="54" spans="1:34" s="18" customFormat="1" ht="18.75">
      <c r="A54" s="117" t="s">
        <v>28</v>
      </c>
      <c r="B54" s="127">
        <f>B55</f>
        <v>0</v>
      </c>
      <c r="C54" s="127">
        <f>C55</f>
        <v>0</v>
      </c>
      <c r="D54" s="127">
        <f>D55</f>
        <v>0</v>
      </c>
      <c r="E54" s="127">
        <f aca="true" t="shared" si="13" ref="E54:AE54">E55</f>
        <v>0</v>
      </c>
      <c r="F54" s="136">
        <f t="shared" si="13"/>
        <v>0</v>
      </c>
      <c r="G54" s="136">
        <v>0</v>
      </c>
      <c r="H54" s="127">
        <f t="shared" si="13"/>
        <v>0</v>
      </c>
      <c r="I54" s="127">
        <f t="shared" si="13"/>
        <v>0</v>
      </c>
      <c r="J54" s="127">
        <f t="shared" si="13"/>
        <v>0</v>
      </c>
      <c r="K54" s="127">
        <f t="shared" si="13"/>
        <v>0</v>
      </c>
      <c r="L54" s="127">
        <f t="shared" si="13"/>
        <v>0</v>
      </c>
      <c r="M54" s="127">
        <f t="shared" si="13"/>
        <v>0</v>
      </c>
      <c r="N54" s="127">
        <f t="shared" si="13"/>
        <v>0</v>
      </c>
      <c r="O54" s="127">
        <f t="shared" si="13"/>
        <v>0</v>
      </c>
      <c r="P54" s="127">
        <f t="shared" si="13"/>
        <v>0</v>
      </c>
      <c r="Q54" s="127">
        <f t="shared" si="13"/>
        <v>0</v>
      </c>
      <c r="R54" s="127">
        <f t="shared" si="13"/>
        <v>0</v>
      </c>
      <c r="S54" s="127">
        <f t="shared" si="13"/>
        <v>0</v>
      </c>
      <c r="T54" s="127">
        <f t="shared" si="13"/>
        <v>0</v>
      </c>
      <c r="U54" s="127">
        <f t="shared" si="13"/>
        <v>0</v>
      </c>
      <c r="V54" s="127">
        <f t="shared" si="13"/>
        <v>0</v>
      </c>
      <c r="W54" s="127">
        <f t="shared" si="13"/>
        <v>0</v>
      </c>
      <c r="X54" s="127">
        <f t="shared" si="13"/>
        <v>0</v>
      </c>
      <c r="Y54" s="127">
        <f t="shared" si="13"/>
        <v>0</v>
      </c>
      <c r="Z54" s="127">
        <f t="shared" si="13"/>
        <v>0</v>
      </c>
      <c r="AA54" s="127">
        <f t="shared" si="13"/>
        <v>0</v>
      </c>
      <c r="AB54" s="127">
        <f t="shared" si="13"/>
        <v>0</v>
      </c>
      <c r="AC54" s="127">
        <f t="shared" si="13"/>
        <v>0</v>
      </c>
      <c r="AD54" s="127">
        <f t="shared" si="13"/>
        <v>0</v>
      </c>
      <c r="AE54" s="127">
        <f t="shared" si="13"/>
        <v>0</v>
      </c>
      <c r="AF54" s="119"/>
      <c r="AH54" s="98"/>
    </row>
    <row r="55" spans="1:34" s="152" customFormat="1" ht="18.75">
      <c r="A55" s="148" t="s">
        <v>24</v>
      </c>
      <c r="B55" s="149">
        <f>H55+J55+L55+N55+P55+R55+T55+V55+X55+Z55+AB55+AD55</f>
        <v>0</v>
      </c>
      <c r="C55" s="150">
        <f>H55+J55+L55+N55+P55+R55+T55+V55+X55</f>
        <v>0</v>
      </c>
      <c r="D55" s="150">
        <f>H55+J55+L55+N55+P55+R55+T55+V55</f>
        <v>0</v>
      </c>
      <c r="E55" s="150">
        <f>I55+K55+M55+O55+Q55+S55+U55+W55+Y55+AA55+AC55+AE55</f>
        <v>0</v>
      </c>
      <c r="F55" s="151">
        <v>0</v>
      </c>
      <c r="G55" s="151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0</v>
      </c>
      <c r="X55" s="150">
        <v>0</v>
      </c>
      <c r="Y55" s="150">
        <v>0</v>
      </c>
      <c r="Z55" s="150">
        <v>0</v>
      </c>
      <c r="AA55" s="150">
        <v>0</v>
      </c>
      <c r="AB55" s="150">
        <v>0</v>
      </c>
      <c r="AC55" s="150">
        <v>0</v>
      </c>
      <c r="AD55" s="150">
        <v>0</v>
      </c>
      <c r="AE55" s="150">
        <v>0</v>
      </c>
      <c r="AF55" s="161"/>
      <c r="AH55" s="153"/>
    </row>
    <row r="56" spans="1:34" s="18" customFormat="1" ht="40.5" customHeight="1">
      <c r="A56" s="114" t="s">
        <v>124</v>
      </c>
      <c r="B56" s="135"/>
      <c r="C56" s="135"/>
      <c r="D56" s="135"/>
      <c r="E56" s="135"/>
      <c r="F56" s="141"/>
      <c r="G56" s="141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21"/>
      <c r="AH56" s="98"/>
    </row>
    <row r="57" spans="1:34" s="18" customFormat="1" ht="75.75" customHeight="1">
      <c r="A57" s="47" t="s">
        <v>154</v>
      </c>
      <c r="B57" s="134"/>
      <c r="C57" s="131"/>
      <c r="D57" s="131"/>
      <c r="E57" s="131"/>
      <c r="F57" s="138"/>
      <c r="G57" s="138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20"/>
      <c r="AH57" s="98"/>
    </row>
    <row r="58" spans="1:34" s="18" customFormat="1" ht="18.75">
      <c r="A58" s="4" t="s">
        <v>22</v>
      </c>
      <c r="B58" s="129"/>
      <c r="C58" s="131"/>
      <c r="D58" s="131"/>
      <c r="E58" s="131"/>
      <c r="F58" s="138"/>
      <c r="G58" s="138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20"/>
      <c r="AH58" s="98"/>
    </row>
    <row r="59" spans="1:34" s="18" customFormat="1" ht="148.5" customHeight="1">
      <c r="A59" s="45" t="s">
        <v>155</v>
      </c>
      <c r="B59" s="129"/>
      <c r="C59" s="131"/>
      <c r="D59" s="131"/>
      <c r="E59" s="131"/>
      <c r="F59" s="138"/>
      <c r="G59" s="138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22"/>
      <c r="AH59" s="98"/>
    </row>
    <row r="60" spans="1:34" s="18" customFormat="1" ht="18.75">
      <c r="A60" s="117" t="s">
        <v>28</v>
      </c>
      <c r="B60" s="127">
        <f>B61</f>
        <v>0</v>
      </c>
      <c r="C60" s="127">
        <f aca="true" t="shared" si="14" ref="C60:AE60">C61</f>
        <v>0</v>
      </c>
      <c r="D60" s="127">
        <f t="shared" si="14"/>
        <v>0</v>
      </c>
      <c r="E60" s="127">
        <f t="shared" si="14"/>
        <v>0</v>
      </c>
      <c r="F60" s="136">
        <f t="shared" si="14"/>
        <v>0</v>
      </c>
      <c r="G60" s="136">
        <v>0</v>
      </c>
      <c r="H60" s="127">
        <f t="shared" si="14"/>
        <v>0</v>
      </c>
      <c r="I60" s="127">
        <f t="shared" si="14"/>
        <v>0</v>
      </c>
      <c r="J60" s="127">
        <f t="shared" si="14"/>
        <v>0</v>
      </c>
      <c r="K60" s="127">
        <f t="shared" si="14"/>
        <v>0</v>
      </c>
      <c r="L60" s="127">
        <f t="shared" si="14"/>
        <v>0</v>
      </c>
      <c r="M60" s="127">
        <f t="shared" si="14"/>
        <v>0</v>
      </c>
      <c r="N60" s="127">
        <f t="shared" si="14"/>
        <v>0</v>
      </c>
      <c r="O60" s="127">
        <f t="shared" si="14"/>
        <v>0</v>
      </c>
      <c r="P60" s="127">
        <f t="shared" si="14"/>
        <v>0</v>
      </c>
      <c r="Q60" s="127">
        <f t="shared" si="14"/>
        <v>0</v>
      </c>
      <c r="R60" s="127">
        <f t="shared" si="14"/>
        <v>0</v>
      </c>
      <c r="S60" s="127">
        <f t="shared" si="14"/>
        <v>0</v>
      </c>
      <c r="T60" s="127">
        <f t="shared" si="14"/>
        <v>0</v>
      </c>
      <c r="U60" s="127">
        <f t="shared" si="14"/>
        <v>0</v>
      </c>
      <c r="V60" s="127">
        <f t="shared" si="14"/>
        <v>0</v>
      </c>
      <c r="W60" s="127">
        <f t="shared" si="14"/>
        <v>0</v>
      </c>
      <c r="X60" s="127">
        <f t="shared" si="14"/>
        <v>0</v>
      </c>
      <c r="Y60" s="127">
        <f t="shared" si="14"/>
        <v>0</v>
      </c>
      <c r="Z60" s="127">
        <f t="shared" si="14"/>
        <v>0</v>
      </c>
      <c r="AA60" s="127">
        <f t="shared" si="14"/>
        <v>0</v>
      </c>
      <c r="AB60" s="127">
        <f t="shared" si="14"/>
        <v>0</v>
      </c>
      <c r="AC60" s="127">
        <f t="shared" si="14"/>
        <v>0</v>
      </c>
      <c r="AD60" s="127">
        <f t="shared" si="14"/>
        <v>0</v>
      </c>
      <c r="AE60" s="127">
        <f t="shared" si="14"/>
        <v>0</v>
      </c>
      <c r="AF60" s="119"/>
      <c r="AH60" s="98"/>
    </row>
    <row r="61" spans="1:34" s="152" customFormat="1" ht="18.75" customHeight="1">
      <c r="A61" s="148" t="s">
        <v>25</v>
      </c>
      <c r="B61" s="149">
        <f>H61+J61+L61+N61+P61+R61+T61+V61+X61+Z61+AB61+AD61</f>
        <v>0</v>
      </c>
      <c r="C61" s="150">
        <f>H61+J61+L61+N61+P61+R61+T61+V61</f>
        <v>0</v>
      </c>
      <c r="D61" s="150">
        <f>H61+J61+L61+N61+P61+R61+T61+V61</f>
        <v>0</v>
      </c>
      <c r="E61" s="150">
        <f>I61+K61+M61+O61+Q61+S61+U61+W61+Y61+AA61+AC61+AE61</f>
        <v>0</v>
      </c>
      <c r="F61" s="151">
        <v>0</v>
      </c>
      <c r="G61" s="151">
        <v>0</v>
      </c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61"/>
      <c r="AH61" s="153"/>
    </row>
    <row r="62" spans="1:34" s="18" customFormat="1" ht="134.25" customHeight="1">
      <c r="A62" s="109" t="s">
        <v>156</v>
      </c>
      <c r="B62" s="129"/>
      <c r="C62" s="131"/>
      <c r="D62" s="131"/>
      <c r="E62" s="131"/>
      <c r="F62" s="138"/>
      <c r="G62" s="138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20"/>
      <c r="AH62" s="98"/>
    </row>
    <row r="63" spans="1:34" s="18" customFormat="1" ht="18.75">
      <c r="A63" s="117" t="s">
        <v>28</v>
      </c>
      <c r="B63" s="127">
        <f>B64</f>
        <v>0</v>
      </c>
      <c r="C63" s="127">
        <f aca="true" t="shared" si="15" ref="C63:AE63">C64</f>
        <v>0</v>
      </c>
      <c r="D63" s="127">
        <f t="shared" si="15"/>
        <v>0</v>
      </c>
      <c r="E63" s="127">
        <f t="shared" si="15"/>
        <v>0</v>
      </c>
      <c r="F63" s="136">
        <v>0</v>
      </c>
      <c r="G63" s="136">
        <v>0</v>
      </c>
      <c r="H63" s="127">
        <f t="shared" si="15"/>
        <v>0</v>
      </c>
      <c r="I63" s="127">
        <f t="shared" si="15"/>
        <v>0</v>
      </c>
      <c r="J63" s="127">
        <f t="shared" si="15"/>
        <v>0</v>
      </c>
      <c r="K63" s="127">
        <f t="shared" si="15"/>
        <v>0</v>
      </c>
      <c r="L63" s="127">
        <f t="shared" si="15"/>
        <v>0</v>
      </c>
      <c r="M63" s="127">
        <f t="shared" si="15"/>
        <v>0</v>
      </c>
      <c r="N63" s="127">
        <f t="shared" si="15"/>
        <v>0</v>
      </c>
      <c r="O63" s="127">
        <f t="shared" si="15"/>
        <v>0</v>
      </c>
      <c r="P63" s="127">
        <f t="shared" si="15"/>
        <v>0</v>
      </c>
      <c r="Q63" s="127">
        <f t="shared" si="15"/>
        <v>0</v>
      </c>
      <c r="R63" s="127">
        <f t="shared" si="15"/>
        <v>0</v>
      </c>
      <c r="S63" s="127">
        <f t="shared" si="15"/>
        <v>0</v>
      </c>
      <c r="T63" s="127">
        <f t="shared" si="15"/>
        <v>0</v>
      </c>
      <c r="U63" s="127">
        <f t="shared" si="15"/>
        <v>0</v>
      </c>
      <c r="V63" s="127">
        <f t="shared" si="15"/>
        <v>0</v>
      </c>
      <c r="W63" s="127">
        <f t="shared" si="15"/>
        <v>0</v>
      </c>
      <c r="X63" s="127">
        <f t="shared" si="15"/>
        <v>0</v>
      </c>
      <c r="Y63" s="127">
        <f t="shared" si="15"/>
        <v>0</v>
      </c>
      <c r="Z63" s="127">
        <f t="shared" si="15"/>
        <v>0</v>
      </c>
      <c r="AA63" s="127">
        <f t="shared" si="15"/>
        <v>0</v>
      </c>
      <c r="AB63" s="127">
        <f t="shared" si="15"/>
        <v>0</v>
      </c>
      <c r="AC63" s="127">
        <f t="shared" si="15"/>
        <v>0</v>
      </c>
      <c r="AD63" s="127">
        <f t="shared" si="15"/>
        <v>0</v>
      </c>
      <c r="AE63" s="127">
        <f t="shared" si="15"/>
        <v>0</v>
      </c>
      <c r="AF63" s="119"/>
      <c r="AH63" s="98"/>
    </row>
    <row r="64" spans="1:34" s="152" customFormat="1" ht="18.75">
      <c r="A64" s="148" t="s">
        <v>25</v>
      </c>
      <c r="B64" s="149">
        <f>H64+J64+L64+N64+P64+R64+T64+V64+X64+Z64+AB64+AD64</f>
        <v>0</v>
      </c>
      <c r="C64" s="150">
        <f>H64+J64+L64+N64+P64+R64+T64+V64+X64+Z64+AB64+AD64</f>
        <v>0</v>
      </c>
      <c r="D64" s="150">
        <v>0</v>
      </c>
      <c r="E64" s="150">
        <f>I64+K64+M64+O64+Q64+S64+U64+W64+Y64+AA64+AC64+AE64</f>
        <v>0</v>
      </c>
      <c r="F64" s="151">
        <v>0</v>
      </c>
      <c r="G64" s="151">
        <v>0</v>
      </c>
      <c r="H64" s="150">
        <v>0</v>
      </c>
      <c r="I64" s="150"/>
      <c r="J64" s="150">
        <v>0</v>
      </c>
      <c r="K64" s="150"/>
      <c r="L64" s="150">
        <v>0</v>
      </c>
      <c r="M64" s="150"/>
      <c r="N64" s="150">
        <v>0</v>
      </c>
      <c r="O64" s="150">
        <v>0</v>
      </c>
      <c r="P64" s="150">
        <v>0</v>
      </c>
      <c r="Q64" s="150"/>
      <c r="R64" s="150">
        <v>0</v>
      </c>
      <c r="S64" s="150"/>
      <c r="T64" s="150">
        <v>0</v>
      </c>
      <c r="U64" s="150"/>
      <c r="V64" s="150">
        <v>0</v>
      </c>
      <c r="W64" s="150"/>
      <c r="X64" s="150">
        <v>0</v>
      </c>
      <c r="Y64" s="150"/>
      <c r="Z64" s="150">
        <v>0</v>
      </c>
      <c r="AA64" s="150"/>
      <c r="AB64" s="150">
        <v>0</v>
      </c>
      <c r="AC64" s="150"/>
      <c r="AD64" s="150">
        <v>0</v>
      </c>
      <c r="AE64" s="150">
        <v>0</v>
      </c>
      <c r="AF64" s="161"/>
      <c r="AH64" s="153"/>
    </row>
    <row r="65" spans="1:34" s="18" customFormat="1" ht="97.5" customHeight="1">
      <c r="A65" s="45" t="s">
        <v>157</v>
      </c>
      <c r="B65" s="129"/>
      <c r="C65" s="131"/>
      <c r="D65" s="131"/>
      <c r="E65" s="131"/>
      <c r="F65" s="138"/>
      <c r="G65" s="138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20" t="s">
        <v>165</v>
      </c>
      <c r="AH65" s="98"/>
    </row>
    <row r="66" spans="1:34" s="18" customFormat="1" ht="18.75">
      <c r="A66" s="117" t="s">
        <v>28</v>
      </c>
      <c r="B66" s="127">
        <f>B67</f>
        <v>40</v>
      </c>
      <c r="C66" s="127">
        <f aca="true" t="shared" si="16" ref="C66:AE66">C67</f>
        <v>0</v>
      </c>
      <c r="D66" s="127">
        <f t="shared" si="16"/>
        <v>0</v>
      </c>
      <c r="E66" s="127">
        <f t="shared" si="16"/>
        <v>0</v>
      </c>
      <c r="F66" s="136">
        <f>E66/B66</f>
        <v>0</v>
      </c>
      <c r="G66" s="136">
        <v>0</v>
      </c>
      <c r="H66" s="127">
        <f t="shared" si="16"/>
        <v>0</v>
      </c>
      <c r="I66" s="127">
        <f t="shared" si="16"/>
        <v>0</v>
      </c>
      <c r="J66" s="127">
        <f t="shared" si="16"/>
        <v>0</v>
      </c>
      <c r="K66" s="127">
        <f t="shared" si="16"/>
        <v>0</v>
      </c>
      <c r="L66" s="127">
        <f t="shared" si="16"/>
        <v>0</v>
      </c>
      <c r="M66" s="127">
        <f t="shared" si="16"/>
        <v>0</v>
      </c>
      <c r="N66" s="127">
        <f t="shared" si="16"/>
        <v>0</v>
      </c>
      <c r="O66" s="127">
        <f t="shared" si="16"/>
        <v>0</v>
      </c>
      <c r="P66" s="127">
        <f t="shared" si="16"/>
        <v>25.8</v>
      </c>
      <c r="Q66" s="127">
        <f t="shared" si="16"/>
        <v>0</v>
      </c>
      <c r="R66" s="127">
        <f t="shared" si="16"/>
        <v>0</v>
      </c>
      <c r="S66" s="127">
        <f t="shared" si="16"/>
        <v>0</v>
      </c>
      <c r="T66" s="127">
        <f t="shared" si="16"/>
        <v>14.2</v>
      </c>
      <c r="U66" s="127">
        <f t="shared" si="16"/>
        <v>0</v>
      </c>
      <c r="V66" s="127">
        <f t="shared" si="16"/>
        <v>0</v>
      </c>
      <c r="W66" s="127">
        <f t="shared" si="16"/>
        <v>0</v>
      </c>
      <c r="X66" s="127">
        <f t="shared" si="16"/>
        <v>0</v>
      </c>
      <c r="Y66" s="127">
        <f t="shared" si="16"/>
        <v>0</v>
      </c>
      <c r="Z66" s="127">
        <f t="shared" si="16"/>
        <v>0</v>
      </c>
      <c r="AA66" s="127">
        <f t="shared" si="16"/>
        <v>0</v>
      </c>
      <c r="AB66" s="127">
        <f t="shared" si="16"/>
        <v>0</v>
      </c>
      <c r="AC66" s="127">
        <f t="shared" si="16"/>
        <v>0</v>
      </c>
      <c r="AD66" s="127">
        <f t="shared" si="16"/>
        <v>0</v>
      </c>
      <c r="AE66" s="127">
        <f t="shared" si="16"/>
        <v>0</v>
      </c>
      <c r="AF66" s="119"/>
      <c r="AH66" s="98"/>
    </row>
    <row r="67" spans="1:34" s="152" customFormat="1" ht="18.75">
      <c r="A67" s="148" t="s">
        <v>25</v>
      </c>
      <c r="B67" s="149">
        <f>H67+J67+L67+N67+P67+R67+T67+V67+X67+Z67+AB67+AD67</f>
        <v>40</v>
      </c>
      <c r="C67" s="150">
        <f>H67+J67+L67</f>
        <v>0</v>
      </c>
      <c r="D67" s="150"/>
      <c r="E67" s="150">
        <f>I67+K67+M67+O67+Q67+S67+U67+W67+Y67+AA67+AC67+AE67</f>
        <v>0</v>
      </c>
      <c r="F67" s="151">
        <f>E67/B67</f>
        <v>0</v>
      </c>
      <c r="G67" s="151">
        <v>0</v>
      </c>
      <c r="H67" s="150"/>
      <c r="I67" s="150"/>
      <c r="J67" s="150"/>
      <c r="K67" s="150"/>
      <c r="L67" s="150"/>
      <c r="M67" s="150"/>
      <c r="N67" s="150"/>
      <c r="O67" s="150"/>
      <c r="P67" s="150">
        <v>25.8</v>
      </c>
      <c r="Q67" s="150"/>
      <c r="R67" s="150"/>
      <c r="S67" s="150"/>
      <c r="T67" s="150">
        <v>14.2</v>
      </c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61"/>
      <c r="AH67" s="153"/>
    </row>
    <row r="68" spans="1:34" s="18" customFormat="1" ht="337.5" customHeight="1">
      <c r="A68" s="109" t="s">
        <v>158</v>
      </c>
      <c r="B68" s="129"/>
      <c r="C68" s="131"/>
      <c r="D68" s="131"/>
      <c r="E68" s="131"/>
      <c r="F68" s="138"/>
      <c r="G68" s="138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22" t="s">
        <v>172</v>
      </c>
      <c r="AH68" s="98"/>
    </row>
    <row r="69" spans="1:34" s="18" customFormat="1" ht="18.75">
      <c r="A69" s="117" t="s">
        <v>28</v>
      </c>
      <c r="B69" s="127">
        <f>B70</f>
        <v>2930.3999999999996</v>
      </c>
      <c r="C69" s="127">
        <f>C70</f>
        <v>774.63183</v>
      </c>
      <c r="D69" s="127">
        <f>D70</f>
        <v>672</v>
      </c>
      <c r="E69" s="127">
        <f>E70</f>
        <v>645.58241</v>
      </c>
      <c r="F69" s="136">
        <f>E69/B69</f>
        <v>0.22030521771771774</v>
      </c>
      <c r="G69" s="136">
        <f>E69/C69</f>
        <v>0.8334054772833178</v>
      </c>
      <c r="H69" s="127">
        <f aca="true" t="shared" si="17" ref="H69:AE69">H70</f>
        <v>456.256</v>
      </c>
      <c r="I69" s="127">
        <f t="shared" si="17"/>
        <v>313.96285</v>
      </c>
      <c r="J69" s="127">
        <f t="shared" si="17"/>
        <v>225.14579</v>
      </c>
      <c r="K69" s="127">
        <f t="shared" si="17"/>
        <v>160.97418</v>
      </c>
      <c r="L69" s="127">
        <f t="shared" si="17"/>
        <v>93.23003999999999</v>
      </c>
      <c r="M69" s="127">
        <f t="shared" si="17"/>
        <v>170.64538000000002</v>
      </c>
      <c r="N69" s="127">
        <f t="shared" si="17"/>
        <v>203.5899</v>
      </c>
      <c r="O69" s="127">
        <f t="shared" si="17"/>
        <v>0</v>
      </c>
      <c r="P69" s="127">
        <f t="shared" si="17"/>
        <v>235.7839</v>
      </c>
      <c r="Q69" s="127">
        <f t="shared" si="17"/>
        <v>0</v>
      </c>
      <c r="R69" s="127">
        <f t="shared" si="17"/>
        <v>282.61307</v>
      </c>
      <c r="S69" s="127">
        <f t="shared" si="17"/>
        <v>0</v>
      </c>
      <c r="T69" s="127">
        <f t="shared" si="17"/>
        <v>400.17865</v>
      </c>
      <c r="U69" s="127">
        <f t="shared" si="17"/>
        <v>0</v>
      </c>
      <c r="V69" s="127">
        <f t="shared" si="17"/>
        <v>229.37836</v>
      </c>
      <c r="W69" s="127">
        <f t="shared" si="17"/>
        <v>0</v>
      </c>
      <c r="X69" s="127">
        <f t="shared" si="17"/>
        <v>93.5829</v>
      </c>
      <c r="Y69" s="127">
        <f t="shared" si="17"/>
        <v>0</v>
      </c>
      <c r="Z69" s="127">
        <f t="shared" si="17"/>
        <v>293.83090000000004</v>
      </c>
      <c r="AA69" s="127">
        <f t="shared" si="17"/>
        <v>0</v>
      </c>
      <c r="AB69" s="127">
        <f t="shared" si="17"/>
        <v>91.97727</v>
      </c>
      <c r="AC69" s="127">
        <f t="shared" si="17"/>
        <v>0</v>
      </c>
      <c r="AD69" s="127">
        <f t="shared" si="17"/>
        <v>324.83322</v>
      </c>
      <c r="AE69" s="127">
        <f t="shared" si="17"/>
        <v>0</v>
      </c>
      <c r="AF69" s="119"/>
      <c r="AH69" s="98"/>
    </row>
    <row r="70" spans="1:34" s="152" customFormat="1" ht="18.75">
      <c r="A70" s="148" t="s">
        <v>24</v>
      </c>
      <c r="B70" s="149">
        <f>H70+J70+L70+N70+P70+R70+T70+V70+X70+Z70+AB70+AD70</f>
        <v>2930.3999999999996</v>
      </c>
      <c r="C70" s="150">
        <f>H70+J70+L70</f>
        <v>774.63183</v>
      </c>
      <c r="D70" s="150">
        <v>672</v>
      </c>
      <c r="E70" s="150">
        <f>I70+K70+M70+O70+Q70+S70+U70+W70+Y70+AA70+AC70+AE70</f>
        <v>645.58241</v>
      </c>
      <c r="F70" s="151">
        <f>E70/B70</f>
        <v>0.22030521771771774</v>
      </c>
      <c r="G70" s="151">
        <f>E70/C70</f>
        <v>0.8334054772833178</v>
      </c>
      <c r="H70" s="150">
        <f>456256/1000</f>
        <v>456.256</v>
      </c>
      <c r="I70" s="150">
        <f>313962.85/1000</f>
        <v>313.96285</v>
      </c>
      <c r="J70" s="150">
        <f>225145.79/1000</f>
        <v>225.14579</v>
      </c>
      <c r="K70" s="150">
        <f>160974.18/1000</f>
        <v>160.97418</v>
      </c>
      <c r="L70" s="150">
        <f>93230.04/1000</f>
        <v>93.23003999999999</v>
      </c>
      <c r="M70" s="150">
        <f>170645.38/1000</f>
        <v>170.64538000000002</v>
      </c>
      <c r="N70" s="150">
        <f>203589.9/1000</f>
        <v>203.5899</v>
      </c>
      <c r="O70" s="150">
        <v>0</v>
      </c>
      <c r="P70" s="150">
        <f>235783.9/1000</f>
        <v>235.7839</v>
      </c>
      <c r="Q70" s="150">
        <v>0</v>
      </c>
      <c r="R70" s="150">
        <f>282613.07/1000</f>
        <v>282.61307</v>
      </c>
      <c r="S70" s="150">
        <v>0</v>
      </c>
      <c r="T70" s="150">
        <f>400178.65/1000</f>
        <v>400.17865</v>
      </c>
      <c r="U70" s="150">
        <v>0</v>
      </c>
      <c r="V70" s="150">
        <f>229378.36/1000</f>
        <v>229.37836</v>
      </c>
      <c r="W70" s="150">
        <v>0</v>
      </c>
      <c r="X70" s="150">
        <f>93582.9/1000</f>
        <v>93.5829</v>
      </c>
      <c r="Y70" s="150">
        <v>0</v>
      </c>
      <c r="Z70" s="150">
        <f>293830.9/1000</f>
        <v>293.83090000000004</v>
      </c>
      <c r="AA70" s="150">
        <v>0</v>
      </c>
      <c r="AB70" s="150">
        <f>91977.27/1000</f>
        <v>91.97727</v>
      </c>
      <c r="AC70" s="150">
        <v>0</v>
      </c>
      <c r="AD70" s="150">
        <f>324833.22/1000</f>
        <v>324.83322</v>
      </c>
      <c r="AE70" s="150">
        <v>0</v>
      </c>
      <c r="AF70" s="162"/>
      <c r="AH70" s="153"/>
    </row>
    <row r="71" spans="1:34" s="18" customFormat="1" ht="56.25">
      <c r="A71" s="5" t="s">
        <v>159</v>
      </c>
      <c r="B71" s="134"/>
      <c r="C71" s="131"/>
      <c r="D71" s="131"/>
      <c r="E71" s="131"/>
      <c r="F71" s="138"/>
      <c r="G71" s="138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20"/>
      <c r="AH71" s="98"/>
    </row>
    <row r="72" spans="1:34" s="18" customFormat="1" ht="18.75">
      <c r="A72" s="4" t="s">
        <v>22</v>
      </c>
      <c r="B72" s="129"/>
      <c r="C72" s="131"/>
      <c r="D72" s="131"/>
      <c r="E72" s="131"/>
      <c r="F72" s="138"/>
      <c r="G72" s="138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20"/>
      <c r="AH72" s="98"/>
    </row>
    <row r="73" spans="1:34" s="18" customFormat="1" ht="60" customHeight="1">
      <c r="A73" s="45" t="s">
        <v>160</v>
      </c>
      <c r="B73" s="129"/>
      <c r="C73" s="131"/>
      <c r="D73" s="131"/>
      <c r="E73" s="131"/>
      <c r="F73" s="138"/>
      <c r="G73" s="138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20"/>
      <c r="AH73" s="98"/>
    </row>
    <row r="74" spans="1:34" s="18" customFormat="1" ht="18.75">
      <c r="A74" s="117" t="s">
        <v>28</v>
      </c>
      <c r="B74" s="127">
        <f>B75</f>
        <v>0</v>
      </c>
      <c r="C74" s="127">
        <f aca="true" t="shared" si="18" ref="C74:AE74">C75</f>
        <v>0</v>
      </c>
      <c r="D74" s="127">
        <f t="shared" si="18"/>
        <v>0</v>
      </c>
      <c r="E74" s="127">
        <f t="shared" si="18"/>
        <v>0</v>
      </c>
      <c r="F74" s="136">
        <f t="shared" si="18"/>
        <v>0</v>
      </c>
      <c r="G74" s="136">
        <v>0</v>
      </c>
      <c r="H74" s="127">
        <f t="shared" si="18"/>
        <v>0</v>
      </c>
      <c r="I74" s="127">
        <f t="shared" si="18"/>
        <v>0</v>
      </c>
      <c r="J74" s="127">
        <f t="shared" si="18"/>
        <v>0</v>
      </c>
      <c r="K74" s="127">
        <f t="shared" si="18"/>
        <v>0</v>
      </c>
      <c r="L74" s="127">
        <f t="shared" si="18"/>
        <v>0</v>
      </c>
      <c r="M74" s="127">
        <f t="shared" si="18"/>
        <v>0</v>
      </c>
      <c r="N74" s="127">
        <f t="shared" si="18"/>
        <v>0</v>
      </c>
      <c r="O74" s="127">
        <f t="shared" si="18"/>
        <v>0</v>
      </c>
      <c r="P74" s="127">
        <f t="shared" si="18"/>
        <v>0</v>
      </c>
      <c r="Q74" s="127">
        <f t="shared" si="18"/>
        <v>0</v>
      </c>
      <c r="R74" s="127">
        <f t="shared" si="18"/>
        <v>0</v>
      </c>
      <c r="S74" s="127">
        <f t="shared" si="18"/>
        <v>0</v>
      </c>
      <c r="T74" s="127">
        <f t="shared" si="18"/>
        <v>0</v>
      </c>
      <c r="U74" s="127">
        <f t="shared" si="18"/>
        <v>0</v>
      </c>
      <c r="V74" s="127">
        <f t="shared" si="18"/>
        <v>0</v>
      </c>
      <c r="W74" s="127">
        <f t="shared" si="18"/>
        <v>0</v>
      </c>
      <c r="X74" s="127">
        <f t="shared" si="18"/>
        <v>0</v>
      </c>
      <c r="Y74" s="127">
        <f t="shared" si="18"/>
        <v>0</v>
      </c>
      <c r="Z74" s="127">
        <f t="shared" si="18"/>
        <v>0</v>
      </c>
      <c r="AA74" s="127">
        <f t="shared" si="18"/>
        <v>0</v>
      </c>
      <c r="AB74" s="127">
        <f t="shared" si="18"/>
        <v>0</v>
      </c>
      <c r="AC74" s="127">
        <f t="shared" si="18"/>
        <v>0</v>
      </c>
      <c r="AD74" s="127">
        <f t="shared" si="18"/>
        <v>0</v>
      </c>
      <c r="AE74" s="127">
        <f t="shared" si="18"/>
        <v>0</v>
      </c>
      <c r="AF74" s="118"/>
      <c r="AH74" s="98"/>
    </row>
    <row r="75" spans="1:34" s="152" customFormat="1" ht="18.75">
      <c r="A75" s="148" t="s">
        <v>25</v>
      </c>
      <c r="B75" s="149">
        <f>H75+J75+L75+N75+P75+R75+T75+V75+X75+Z75+AB75+AD75</f>
        <v>0</v>
      </c>
      <c r="C75" s="150">
        <f>H75+J75+L75+N75+P75+R75+T75+V75+X75</f>
        <v>0</v>
      </c>
      <c r="D75" s="150">
        <f>H75+J75+L75+N75+P75+R75+T75+V75</f>
        <v>0</v>
      </c>
      <c r="E75" s="150">
        <f>I75+K75+M75+O75+Q75+S75+U75+W75+Y75+AA75+AC75+AE75</f>
        <v>0</v>
      </c>
      <c r="F75" s="151">
        <v>0</v>
      </c>
      <c r="G75" s="151">
        <v>0</v>
      </c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61"/>
      <c r="AH75" s="153"/>
    </row>
    <row r="76" spans="1:34" s="18" customFormat="1" ht="186" customHeight="1">
      <c r="A76" s="46" t="s">
        <v>161</v>
      </c>
      <c r="B76" s="130"/>
      <c r="C76" s="131"/>
      <c r="D76" s="131"/>
      <c r="E76" s="131"/>
      <c r="F76" s="138"/>
      <c r="G76" s="138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22"/>
      <c r="AH76" s="98"/>
    </row>
    <row r="77" spans="1:34" s="18" customFormat="1" ht="18.75">
      <c r="A77" s="117" t="s">
        <v>28</v>
      </c>
      <c r="B77" s="127">
        <f>B78</f>
        <v>0</v>
      </c>
      <c r="C77" s="127">
        <f aca="true" t="shared" si="19" ref="C77:AE77">C78</f>
        <v>0</v>
      </c>
      <c r="D77" s="127">
        <f t="shared" si="19"/>
        <v>0</v>
      </c>
      <c r="E77" s="127">
        <f t="shared" si="19"/>
        <v>0</v>
      </c>
      <c r="F77" s="136">
        <f t="shared" si="19"/>
        <v>0</v>
      </c>
      <c r="G77" s="136">
        <v>0</v>
      </c>
      <c r="H77" s="127">
        <f t="shared" si="19"/>
        <v>0</v>
      </c>
      <c r="I77" s="127">
        <f t="shared" si="19"/>
        <v>0</v>
      </c>
      <c r="J77" s="127">
        <f t="shared" si="19"/>
        <v>0</v>
      </c>
      <c r="K77" s="127">
        <f t="shared" si="19"/>
        <v>0</v>
      </c>
      <c r="L77" s="127">
        <f t="shared" si="19"/>
        <v>0</v>
      </c>
      <c r="M77" s="127">
        <f t="shared" si="19"/>
        <v>0</v>
      </c>
      <c r="N77" s="127">
        <f t="shared" si="19"/>
        <v>0</v>
      </c>
      <c r="O77" s="127">
        <f t="shared" si="19"/>
        <v>0</v>
      </c>
      <c r="P77" s="127">
        <f t="shared" si="19"/>
        <v>0</v>
      </c>
      <c r="Q77" s="127">
        <f t="shared" si="19"/>
        <v>0</v>
      </c>
      <c r="R77" s="127">
        <f t="shared" si="19"/>
        <v>0</v>
      </c>
      <c r="S77" s="127">
        <f t="shared" si="19"/>
        <v>0</v>
      </c>
      <c r="T77" s="127">
        <f t="shared" si="19"/>
        <v>0</v>
      </c>
      <c r="U77" s="127">
        <f t="shared" si="19"/>
        <v>0</v>
      </c>
      <c r="V77" s="127">
        <f t="shared" si="19"/>
        <v>0</v>
      </c>
      <c r="W77" s="127">
        <f t="shared" si="19"/>
        <v>0</v>
      </c>
      <c r="X77" s="127">
        <f t="shared" si="19"/>
        <v>0</v>
      </c>
      <c r="Y77" s="127">
        <f t="shared" si="19"/>
        <v>0</v>
      </c>
      <c r="Z77" s="127">
        <f t="shared" si="19"/>
        <v>0</v>
      </c>
      <c r="AA77" s="127">
        <f t="shared" si="19"/>
        <v>0</v>
      </c>
      <c r="AB77" s="127">
        <f t="shared" si="19"/>
        <v>0</v>
      </c>
      <c r="AC77" s="127">
        <f t="shared" si="19"/>
        <v>0</v>
      </c>
      <c r="AD77" s="127">
        <f t="shared" si="19"/>
        <v>0</v>
      </c>
      <c r="AE77" s="127">
        <f t="shared" si="19"/>
        <v>0</v>
      </c>
      <c r="AF77" s="118"/>
      <c r="AH77" s="98"/>
    </row>
    <row r="78" spans="1:34" s="152" customFormat="1" ht="18.75">
      <c r="A78" s="148" t="s">
        <v>25</v>
      </c>
      <c r="B78" s="149">
        <f>H78+J78+L78+N78+P78+R78+T78+V78+X78+Z78+AB78+AD78</f>
        <v>0</v>
      </c>
      <c r="C78" s="150">
        <f>H78+J78+L78+N78+P78+R78+T78+V78+X78</f>
        <v>0</v>
      </c>
      <c r="D78" s="150">
        <f>H78+J78+L78+N78+P78+R78+T78+V78</f>
        <v>0</v>
      </c>
      <c r="E78" s="150">
        <f>I78+K78+M78+O78+Q78+S78+U78+W78+Y78+AA78+AC78+AE78</f>
        <v>0</v>
      </c>
      <c r="F78" s="151">
        <v>0</v>
      </c>
      <c r="G78" s="151">
        <v>0</v>
      </c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61"/>
      <c r="AH78" s="153"/>
    </row>
    <row r="79" spans="1:34" s="49" customFormat="1" ht="18.75">
      <c r="A79" s="117" t="s">
        <v>29</v>
      </c>
      <c r="B79" s="127">
        <f>B81+B82+B80</f>
        <v>20478.09999</v>
      </c>
      <c r="C79" s="127">
        <f>C81+C82+C80</f>
        <v>2407.89468</v>
      </c>
      <c r="D79" s="127">
        <f>D81+D82+D80</f>
        <v>2305.26285</v>
      </c>
      <c r="E79" s="127">
        <f>E81+E82+E80</f>
        <v>1940.77241</v>
      </c>
      <c r="F79" s="142">
        <f>E79/B79</f>
        <v>0.0947730703018215</v>
      </c>
      <c r="G79" s="142">
        <f>E79/C79</f>
        <v>0.8060038614313481</v>
      </c>
      <c r="H79" s="127">
        <f>H81+H82+H80</f>
        <v>522.0455999999999</v>
      </c>
      <c r="I79" s="127">
        <f aca="true" t="shared" si="20" ref="I79:AE79">I81+I82+I80</f>
        <v>313.96285</v>
      </c>
      <c r="J79" s="127">
        <f t="shared" si="20"/>
        <v>900.60994</v>
      </c>
      <c r="K79" s="127">
        <f t="shared" si="20"/>
        <v>606.95418</v>
      </c>
      <c r="L79" s="127">
        <f t="shared" si="20"/>
        <v>985.2391399999999</v>
      </c>
      <c r="M79" s="127">
        <f t="shared" si="20"/>
        <v>1019.8553800000001</v>
      </c>
      <c r="N79" s="127">
        <f t="shared" si="20"/>
        <v>1283.9035099999999</v>
      </c>
      <c r="O79" s="127">
        <f t="shared" si="20"/>
        <v>0</v>
      </c>
      <c r="P79" s="127">
        <f t="shared" si="20"/>
        <v>1595.4316</v>
      </c>
      <c r="Q79" s="127">
        <f t="shared" si="20"/>
        <v>0</v>
      </c>
      <c r="R79" s="127">
        <f t="shared" si="20"/>
        <v>3263.2958700000004</v>
      </c>
      <c r="S79" s="127">
        <f t="shared" si="20"/>
        <v>0</v>
      </c>
      <c r="T79" s="127">
        <f t="shared" si="20"/>
        <v>3368.22223</v>
      </c>
      <c r="U79" s="127">
        <f t="shared" si="20"/>
        <v>0</v>
      </c>
      <c r="V79" s="127">
        <f t="shared" si="20"/>
        <v>3259.89084</v>
      </c>
      <c r="W79" s="127">
        <f t="shared" si="20"/>
        <v>0</v>
      </c>
      <c r="X79" s="127">
        <f t="shared" si="20"/>
        <v>874.95892</v>
      </c>
      <c r="Y79" s="127">
        <f t="shared" si="20"/>
        <v>0</v>
      </c>
      <c r="Z79" s="127">
        <f t="shared" si="20"/>
        <v>1313.95956</v>
      </c>
      <c r="AA79" s="127">
        <f t="shared" si="20"/>
        <v>0</v>
      </c>
      <c r="AB79" s="127">
        <f t="shared" si="20"/>
        <v>1021.4095599999999</v>
      </c>
      <c r="AC79" s="127">
        <f t="shared" si="20"/>
        <v>0</v>
      </c>
      <c r="AD79" s="127">
        <f t="shared" si="20"/>
        <v>2089.1332199999997</v>
      </c>
      <c r="AE79" s="127">
        <f t="shared" si="20"/>
        <v>0</v>
      </c>
      <c r="AF79" s="118"/>
      <c r="AH79" s="100"/>
    </row>
    <row r="80" spans="1:34" s="146" customFormat="1" ht="18.75">
      <c r="A80" s="143" t="s">
        <v>24</v>
      </c>
      <c r="B80" s="144">
        <f>B15+B19+B23+B55+B70</f>
        <v>4345.7</v>
      </c>
      <c r="C80" s="144">
        <f>C15+C19+C23+C55+C70</f>
        <v>884.01849</v>
      </c>
      <c r="D80" s="144">
        <f>D15+D19+D23+D55+D70</f>
        <v>781.38666</v>
      </c>
      <c r="E80" s="144">
        <f>E15+E19+E23+E55+E70</f>
        <v>706.61241</v>
      </c>
      <c r="F80" s="145">
        <f>E80/B80</f>
        <v>0.1626003658789148</v>
      </c>
      <c r="G80" s="145">
        <f>E80/C80</f>
        <v>0.7993185866508289</v>
      </c>
      <c r="H80" s="144">
        <f>H15+H19+H23+H55+H70</f>
        <v>456.256</v>
      </c>
      <c r="I80" s="144">
        <f aca="true" t="shared" si="21" ref="I80:AE80">I15+I19+I23+I55+I70</f>
        <v>313.96285</v>
      </c>
      <c r="J80" s="144">
        <f t="shared" si="21"/>
        <v>261.48634</v>
      </c>
      <c r="K80" s="144">
        <f t="shared" si="21"/>
        <v>170.19418</v>
      </c>
      <c r="L80" s="144">
        <f t="shared" si="21"/>
        <v>166.27614999999997</v>
      </c>
      <c r="M80" s="144">
        <f t="shared" si="21"/>
        <v>222.45538000000002</v>
      </c>
      <c r="N80" s="144">
        <f t="shared" si="21"/>
        <v>265.93257</v>
      </c>
      <c r="O80" s="144">
        <f t="shared" si="21"/>
        <v>0</v>
      </c>
      <c r="P80" s="144">
        <f t="shared" si="21"/>
        <v>298.19057</v>
      </c>
      <c r="Q80" s="144">
        <f t="shared" si="21"/>
        <v>0</v>
      </c>
      <c r="R80" s="144">
        <f t="shared" si="21"/>
        <v>589.8170700000001</v>
      </c>
      <c r="S80" s="144">
        <f t="shared" si="21"/>
        <v>0</v>
      </c>
      <c r="T80" s="144">
        <f t="shared" si="21"/>
        <v>491.79765</v>
      </c>
      <c r="U80" s="144">
        <f t="shared" si="21"/>
        <v>0</v>
      </c>
      <c r="V80" s="144">
        <f t="shared" si="21"/>
        <v>804.1873599999999</v>
      </c>
      <c r="W80" s="144">
        <f t="shared" si="21"/>
        <v>0</v>
      </c>
      <c r="X80" s="144">
        <f t="shared" si="21"/>
        <v>152.12689999999998</v>
      </c>
      <c r="Y80" s="144">
        <f t="shared" si="21"/>
        <v>0</v>
      </c>
      <c r="Z80" s="144">
        <f t="shared" si="21"/>
        <v>354.41864000000004</v>
      </c>
      <c r="AA80" s="144">
        <f t="shared" si="21"/>
        <v>0</v>
      </c>
      <c r="AB80" s="144">
        <f t="shared" si="21"/>
        <v>180.37752999999998</v>
      </c>
      <c r="AC80" s="144">
        <f t="shared" si="21"/>
        <v>0</v>
      </c>
      <c r="AD80" s="144">
        <f t="shared" si="21"/>
        <v>324.83322</v>
      </c>
      <c r="AE80" s="144">
        <f t="shared" si="21"/>
        <v>0</v>
      </c>
      <c r="AF80" s="163"/>
      <c r="AH80" s="147"/>
    </row>
    <row r="81" spans="1:34" s="146" customFormat="1" ht="18.75">
      <c r="A81" s="143" t="s">
        <v>152</v>
      </c>
      <c r="B81" s="144">
        <f>B50</f>
        <v>0</v>
      </c>
      <c r="C81" s="144">
        <f>C50</f>
        <v>0</v>
      </c>
      <c r="D81" s="144">
        <f>D50</f>
        <v>0</v>
      </c>
      <c r="E81" s="144">
        <f>E50</f>
        <v>0</v>
      </c>
      <c r="F81" s="145">
        <v>0</v>
      </c>
      <c r="G81" s="145">
        <v>0</v>
      </c>
      <c r="H81" s="144">
        <f>H50</f>
        <v>0</v>
      </c>
      <c r="I81" s="144">
        <f aca="true" t="shared" si="22" ref="I81:AE81">I50</f>
        <v>0</v>
      </c>
      <c r="J81" s="144">
        <f t="shared" si="22"/>
        <v>0</v>
      </c>
      <c r="K81" s="144">
        <f t="shared" si="22"/>
        <v>0</v>
      </c>
      <c r="L81" s="144">
        <f t="shared" si="22"/>
        <v>0</v>
      </c>
      <c r="M81" s="144">
        <f t="shared" si="22"/>
        <v>0</v>
      </c>
      <c r="N81" s="144">
        <f t="shared" si="22"/>
        <v>0</v>
      </c>
      <c r="O81" s="144">
        <f t="shared" si="22"/>
        <v>0</v>
      </c>
      <c r="P81" s="144">
        <f t="shared" si="22"/>
        <v>0</v>
      </c>
      <c r="Q81" s="144">
        <f t="shared" si="22"/>
        <v>0</v>
      </c>
      <c r="R81" s="144">
        <f t="shared" si="22"/>
        <v>0</v>
      </c>
      <c r="S81" s="144">
        <f t="shared" si="22"/>
        <v>0</v>
      </c>
      <c r="T81" s="144">
        <f t="shared" si="22"/>
        <v>0</v>
      </c>
      <c r="U81" s="144">
        <f t="shared" si="22"/>
        <v>0</v>
      </c>
      <c r="V81" s="144">
        <f t="shared" si="22"/>
        <v>0</v>
      </c>
      <c r="W81" s="144">
        <f t="shared" si="22"/>
        <v>0</v>
      </c>
      <c r="X81" s="144">
        <f t="shared" si="22"/>
        <v>0</v>
      </c>
      <c r="Y81" s="144">
        <f t="shared" si="22"/>
        <v>0</v>
      </c>
      <c r="Z81" s="144">
        <f t="shared" si="22"/>
        <v>0</v>
      </c>
      <c r="AA81" s="144">
        <f t="shared" si="22"/>
        <v>0</v>
      </c>
      <c r="AB81" s="144">
        <f t="shared" si="22"/>
        <v>0</v>
      </c>
      <c r="AC81" s="144">
        <f t="shared" si="22"/>
        <v>0</v>
      </c>
      <c r="AD81" s="144">
        <f t="shared" si="22"/>
        <v>0</v>
      </c>
      <c r="AE81" s="144">
        <f t="shared" si="22"/>
        <v>0</v>
      </c>
      <c r="AF81" s="163"/>
      <c r="AH81" s="147"/>
    </row>
    <row r="82" spans="1:34" s="146" customFormat="1" ht="18.75">
      <c r="A82" s="143" t="s">
        <v>25</v>
      </c>
      <c r="B82" s="144">
        <f>B16+B20+B24+B27+B30+B33+B44+B64+B36+B61+B67+B75+B78</f>
        <v>16132.39999</v>
      </c>
      <c r="C82" s="144">
        <f>C16+C20+C24+C27+C30+C33+C44+C64+C36+C61+C67+C75+C78</f>
        <v>1523.87619</v>
      </c>
      <c r="D82" s="144">
        <f>D16+D20+D24+D27+D30+D33+D44+D64+D36+D61+D67+D75+D78</f>
        <v>1523.87619</v>
      </c>
      <c r="E82" s="144">
        <f>E16+E20+E24+E27+E30+E33+E44+E64+E36+E61+E67+E75+E78</f>
        <v>1234.16</v>
      </c>
      <c r="F82" s="145">
        <f>E82/B82</f>
        <v>0.07650194644101432</v>
      </c>
      <c r="G82" s="145">
        <f>E82/C82</f>
        <v>0.8098820679126171</v>
      </c>
      <c r="H82" s="144">
        <f aca="true" t="shared" si="23" ref="H82:AE82">H16+H20+H24+H27+H30+H33+H44+H64+H36+H61+H67+H75+H78</f>
        <v>65.7896</v>
      </c>
      <c r="I82" s="144">
        <f t="shared" si="23"/>
        <v>0</v>
      </c>
      <c r="J82" s="144">
        <f t="shared" si="23"/>
        <v>639.1236</v>
      </c>
      <c r="K82" s="144">
        <f t="shared" si="23"/>
        <v>436.76</v>
      </c>
      <c r="L82" s="144">
        <f t="shared" si="23"/>
        <v>818.96299</v>
      </c>
      <c r="M82" s="144">
        <f t="shared" si="23"/>
        <v>797.4000000000001</v>
      </c>
      <c r="N82" s="144">
        <f t="shared" si="23"/>
        <v>1017.9709399999999</v>
      </c>
      <c r="O82" s="144">
        <f t="shared" si="23"/>
        <v>0</v>
      </c>
      <c r="P82" s="144">
        <f t="shared" si="23"/>
        <v>1297.24103</v>
      </c>
      <c r="Q82" s="144">
        <f t="shared" si="23"/>
        <v>0</v>
      </c>
      <c r="R82" s="144">
        <f t="shared" si="23"/>
        <v>2673.4788000000003</v>
      </c>
      <c r="S82" s="144">
        <f t="shared" si="23"/>
        <v>0</v>
      </c>
      <c r="T82" s="144">
        <f t="shared" si="23"/>
        <v>2876.42458</v>
      </c>
      <c r="U82" s="144">
        <f t="shared" si="23"/>
        <v>0</v>
      </c>
      <c r="V82" s="144">
        <f t="shared" si="23"/>
        <v>2455.70348</v>
      </c>
      <c r="W82" s="144">
        <f t="shared" si="23"/>
        <v>0</v>
      </c>
      <c r="X82" s="144">
        <f t="shared" si="23"/>
        <v>722.83202</v>
      </c>
      <c r="Y82" s="144">
        <f t="shared" si="23"/>
        <v>0</v>
      </c>
      <c r="Z82" s="144">
        <f t="shared" si="23"/>
        <v>959.54092</v>
      </c>
      <c r="AA82" s="144">
        <f t="shared" si="23"/>
        <v>0</v>
      </c>
      <c r="AB82" s="144">
        <f t="shared" si="23"/>
        <v>841.03203</v>
      </c>
      <c r="AC82" s="144">
        <f t="shared" si="23"/>
        <v>0</v>
      </c>
      <c r="AD82" s="144">
        <f t="shared" si="23"/>
        <v>1764.3</v>
      </c>
      <c r="AE82" s="144">
        <f t="shared" si="23"/>
        <v>0</v>
      </c>
      <c r="AF82" s="163"/>
      <c r="AH82" s="147"/>
    </row>
    <row r="83" spans="1:34" s="18" customFormat="1" ht="18.75">
      <c r="A83" s="58"/>
      <c r="B83" s="58"/>
      <c r="C83" s="59"/>
      <c r="D83" s="59"/>
      <c r="E83" s="60"/>
      <c r="F83" s="60"/>
      <c r="G83" s="6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2"/>
      <c r="AH83" s="98"/>
    </row>
    <row r="84" spans="1:34" s="18" customFormat="1" ht="18.75">
      <c r="A84" s="58"/>
      <c r="B84" s="58"/>
      <c r="E84" s="60"/>
      <c r="F84" s="60"/>
      <c r="G84" s="6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59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2"/>
      <c r="AH84" s="98"/>
    </row>
    <row r="85" spans="2:30" ht="15.75" customHeight="1">
      <c r="B85" s="54"/>
      <c r="E85" s="53"/>
      <c r="F85" s="57"/>
      <c r="G85" s="57"/>
      <c r="H85" s="106"/>
      <c r="I85" s="107"/>
      <c r="M85" s="17"/>
      <c r="N85" s="17"/>
      <c r="U85" s="53" t="s">
        <v>146</v>
      </c>
      <c r="AA85" s="66"/>
      <c r="AB85" s="66"/>
      <c r="AD85" s="53" t="s">
        <v>147</v>
      </c>
    </row>
    <row r="86" spans="1:43" ht="15.75" customHeight="1">
      <c r="A86" s="53"/>
      <c r="B86" s="54"/>
      <c r="E86" s="53"/>
      <c r="F86" s="57"/>
      <c r="G86" s="57"/>
      <c r="H86" s="106"/>
      <c r="I86" s="107"/>
      <c r="M86" s="17"/>
      <c r="N86" s="17"/>
      <c r="R86" s="52"/>
      <c r="S86" s="7"/>
      <c r="U86" s="53"/>
      <c r="V86" s="1"/>
      <c r="W86" s="1"/>
      <c r="X86" s="1"/>
      <c r="Y86" s="1"/>
      <c r="AA86" s="1"/>
      <c r="AB86" s="1"/>
      <c r="AD86" s="53"/>
      <c r="AE86" s="1"/>
      <c r="AF86" s="7"/>
      <c r="AG86" s="7"/>
      <c r="AH86" s="101"/>
      <c r="AI86" s="7"/>
      <c r="AJ86" s="7"/>
      <c r="AK86" s="7"/>
      <c r="AL86" s="7"/>
      <c r="AM86" s="7"/>
      <c r="AN86" s="7"/>
      <c r="AO86" s="7"/>
      <c r="AP86" s="7"/>
      <c r="AQ86" s="6"/>
    </row>
    <row r="87" spans="1:29" ht="15.75" customHeight="1">
      <c r="A87" s="24"/>
      <c r="B87" s="24"/>
      <c r="E87" s="24"/>
      <c r="F87" s="24"/>
      <c r="G87" s="24"/>
      <c r="H87" s="24"/>
      <c r="I87" s="24"/>
      <c r="J87" s="102"/>
      <c r="R87" s="52"/>
      <c r="U87" s="24"/>
      <c r="AC87" s="1"/>
    </row>
    <row r="88" ht="15.75" customHeight="1"/>
    <row r="89" spans="2:25" ht="15.75" customHeight="1">
      <c r="B89" s="63"/>
      <c r="E89" s="63"/>
      <c r="F89" s="1"/>
      <c r="G89" s="63"/>
      <c r="H89" s="63"/>
      <c r="U89" s="63" t="s">
        <v>144</v>
      </c>
      <c r="Y89" s="63" t="s">
        <v>162</v>
      </c>
    </row>
    <row r="90" ht="15.75" customHeight="1"/>
    <row r="91" ht="15.75" customHeight="1"/>
    <row r="92" ht="15.75" customHeight="1"/>
    <row r="93" ht="15.75" customHeight="1"/>
    <row r="94" ht="15.75" customHeight="1"/>
    <row r="95" spans="6:7" ht="15.75" customHeight="1">
      <c r="F95" s="1"/>
      <c r="G95" s="1"/>
    </row>
    <row r="96" ht="15.75" customHeight="1"/>
  </sheetData>
  <sheetProtection/>
  <mergeCells count="27">
    <mergeCell ref="O2:S2"/>
    <mergeCell ref="O3:S3"/>
    <mergeCell ref="A5:A6"/>
    <mergeCell ref="B5:B6"/>
    <mergeCell ref="C5:C6"/>
    <mergeCell ref="D5:D6"/>
    <mergeCell ref="E5:E6"/>
    <mergeCell ref="F5:G5"/>
    <mergeCell ref="H5:I5"/>
    <mergeCell ref="J5:K5"/>
    <mergeCell ref="AF17:AF20"/>
    <mergeCell ref="L5:M5"/>
    <mergeCell ref="N5:O5"/>
    <mergeCell ref="P5:Q5"/>
    <mergeCell ref="R5:S5"/>
    <mergeCell ref="V5:W5"/>
    <mergeCell ref="X5:Y5"/>
    <mergeCell ref="AF21:AF24"/>
    <mergeCell ref="AF25:AF27"/>
    <mergeCell ref="AF30:AF31"/>
    <mergeCell ref="AF33:AF34"/>
    <mergeCell ref="AF42:AF44"/>
    <mergeCell ref="Z5:AA5"/>
    <mergeCell ref="AB5:AC5"/>
    <mergeCell ref="AD5:AE5"/>
    <mergeCell ref="AF5:AF6"/>
    <mergeCell ref="AF13:AF16"/>
  </mergeCells>
  <printOptions horizontalCentered="1"/>
  <pageMargins left="0" right="0" top="0.3937007874015748" bottom="0.3937007874015748" header="0" footer="0"/>
  <pageSetup fitToWidth="0" horizontalDpi="600" verticalDpi="600" orientation="landscape" paperSize="9" scale="43" r:id="rId1"/>
  <rowBreaks count="1" manualBreakCount="1">
    <brk id="89" max="30" man="1"/>
  </rowBreaks>
  <colBreaks count="1" manualBreakCount="1">
    <brk id="19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32</v>
      </c>
    </row>
    <row r="2" s="25" customFormat="1" ht="15">
      <c r="J2" s="31" t="s">
        <v>33</v>
      </c>
    </row>
    <row r="3" s="25" customFormat="1" ht="15">
      <c r="J3" s="31" t="s">
        <v>34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64" t="s">
        <v>35</v>
      </c>
      <c r="C6" s="164"/>
      <c r="D6" s="164"/>
      <c r="E6" s="164"/>
      <c r="F6" s="164"/>
      <c r="G6" s="164"/>
      <c r="H6" s="164"/>
      <c r="I6" s="164"/>
      <c r="J6" s="164"/>
    </row>
    <row r="7" s="25" customFormat="1" ht="12.75"/>
    <row r="8" spans="2:10" s="25" customFormat="1" ht="12.75">
      <c r="B8" s="176" t="s">
        <v>36</v>
      </c>
      <c r="C8" s="176" t="s">
        <v>5</v>
      </c>
      <c r="D8" s="176" t="s">
        <v>37</v>
      </c>
      <c r="E8" s="176" t="s">
        <v>38</v>
      </c>
      <c r="F8" s="176" t="s">
        <v>39</v>
      </c>
      <c r="G8" s="176"/>
      <c r="H8" s="176"/>
      <c r="I8" s="176"/>
      <c r="J8" s="176" t="s">
        <v>40</v>
      </c>
    </row>
    <row r="9" spans="2:10" s="25" customFormat="1" ht="12.75">
      <c r="B9" s="176"/>
      <c r="C9" s="176"/>
      <c r="D9" s="176"/>
      <c r="E9" s="176"/>
      <c r="F9" s="176" t="s">
        <v>41</v>
      </c>
      <c r="G9" s="176" t="s">
        <v>42</v>
      </c>
      <c r="H9" s="176"/>
      <c r="I9" s="176"/>
      <c r="J9" s="176"/>
    </row>
    <row r="10" spans="2:10" s="25" customFormat="1" ht="15.75" customHeight="1">
      <c r="B10" s="176"/>
      <c r="C10" s="176"/>
      <c r="D10" s="176"/>
      <c r="E10" s="176"/>
      <c r="F10" s="176"/>
      <c r="G10" s="33" t="s">
        <v>43</v>
      </c>
      <c r="H10" s="33" t="s">
        <v>44</v>
      </c>
      <c r="I10" s="33" t="s">
        <v>45</v>
      </c>
      <c r="J10" s="176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177" t="s">
        <v>46</v>
      </c>
      <c r="C12" s="177"/>
      <c r="D12" s="177"/>
      <c r="E12" s="177"/>
      <c r="F12" s="177"/>
      <c r="G12" s="177"/>
      <c r="H12" s="177"/>
      <c r="I12" s="177"/>
      <c r="J12" s="177"/>
    </row>
    <row r="13" spans="2:10" s="25" customFormat="1" ht="24.75" customHeight="1">
      <c r="B13" s="177" t="s">
        <v>47</v>
      </c>
      <c r="C13" s="177"/>
      <c r="D13" s="177"/>
      <c r="E13" s="177"/>
      <c r="F13" s="177"/>
      <c r="G13" s="177"/>
      <c r="H13" s="177"/>
      <c r="I13" s="177"/>
      <c r="J13" s="177"/>
    </row>
    <row r="14" spans="2:10" s="25" customFormat="1" ht="25.5" customHeight="1">
      <c r="B14" s="178" t="s">
        <v>48</v>
      </c>
      <c r="C14" s="179"/>
      <c r="D14" s="179"/>
      <c r="E14" s="179"/>
      <c r="F14" s="179"/>
      <c r="G14" s="179"/>
      <c r="H14" s="179"/>
      <c r="I14" s="179"/>
      <c r="J14" s="180"/>
    </row>
    <row r="15" spans="2:13" s="25" customFormat="1" ht="12.75">
      <c r="B15" s="181" t="s">
        <v>49</v>
      </c>
      <c r="C15" s="184" t="s">
        <v>50</v>
      </c>
      <c r="D15" s="187" t="s">
        <v>51</v>
      </c>
      <c r="E15" s="187" t="s">
        <v>52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28</v>
      </c>
      <c r="M15" s="36"/>
    </row>
    <row r="16" spans="2:13" s="25" customFormat="1" ht="38.25">
      <c r="B16" s="182"/>
      <c r="C16" s="185"/>
      <c r="D16" s="188"/>
      <c r="E16" s="188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53</v>
      </c>
      <c r="M16" s="36"/>
    </row>
    <row r="17" spans="2:13" s="25" customFormat="1" ht="25.5">
      <c r="B17" s="183"/>
      <c r="C17" s="186"/>
      <c r="D17" s="189"/>
      <c r="E17" s="189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54</v>
      </c>
      <c r="M17" s="36"/>
    </row>
    <row r="18" spans="2:13" s="25" customFormat="1" ht="42.75" customHeight="1">
      <c r="B18" s="37" t="s">
        <v>55</v>
      </c>
      <c r="C18" s="34" t="s">
        <v>56</v>
      </c>
      <c r="D18" s="33" t="s">
        <v>51</v>
      </c>
      <c r="E18" s="33" t="s">
        <v>52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53</v>
      </c>
      <c r="M18" s="36"/>
    </row>
    <row r="19" spans="2:13" s="25" customFormat="1" ht="12.75">
      <c r="B19" s="181" t="s">
        <v>57</v>
      </c>
      <c r="C19" s="184" t="s">
        <v>58</v>
      </c>
      <c r="D19" s="187" t="s">
        <v>51</v>
      </c>
      <c r="E19" s="187" t="s">
        <v>52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28</v>
      </c>
      <c r="M19" s="36"/>
    </row>
    <row r="20" spans="2:13" s="25" customFormat="1" ht="38.25">
      <c r="B20" s="182"/>
      <c r="C20" s="185"/>
      <c r="D20" s="188"/>
      <c r="E20" s="188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53</v>
      </c>
      <c r="K20" s="36"/>
      <c r="M20" s="36"/>
    </row>
    <row r="21" spans="2:13" s="25" customFormat="1" ht="63.75">
      <c r="B21" s="183"/>
      <c r="C21" s="186"/>
      <c r="D21" s="189"/>
      <c r="E21" s="189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59</v>
      </c>
      <c r="M21" s="36"/>
    </row>
    <row r="22" spans="2:13" s="25" customFormat="1" ht="42.75" customHeight="1">
      <c r="B22" s="37" t="s">
        <v>60</v>
      </c>
      <c r="C22" s="34" t="s">
        <v>61</v>
      </c>
      <c r="D22" s="33" t="s">
        <v>51</v>
      </c>
      <c r="E22" s="33" t="s">
        <v>52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53</v>
      </c>
      <c r="M22" s="36"/>
    </row>
    <row r="23" spans="2:13" s="25" customFormat="1" ht="42.75" customHeight="1">
      <c r="B23" s="37" t="s">
        <v>62</v>
      </c>
      <c r="C23" s="34" t="s">
        <v>63</v>
      </c>
      <c r="D23" s="33" t="s">
        <v>51</v>
      </c>
      <c r="E23" s="33" t="s">
        <v>52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53</v>
      </c>
      <c r="M23" s="36"/>
    </row>
    <row r="24" spans="2:13" s="25" customFormat="1" ht="42.75" customHeight="1">
      <c r="B24" s="37" t="s">
        <v>64</v>
      </c>
      <c r="C24" s="34" t="s">
        <v>65</v>
      </c>
      <c r="D24" s="33" t="s">
        <v>51</v>
      </c>
      <c r="E24" s="33" t="s">
        <v>52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53</v>
      </c>
      <c r="M24" s="36"/>
    </row>
    <row r="25" spans="2:13" s="25" customFormat="1" ht="42.75" customHeight="1">
      <c r="B25" s="37" t="s">
        <v>66</v>
      </c>
      <c r="C25" s="34" t="s">
        <v>67</v>
      </c>
      <c r="D25" s="33" t="s">
        <v>51</v>
      </c>
      <c r="E25" s="33" t="s">
        <v>52</v>
      </c>
      <c r="F25" s="176" t="s">
        <v>68</v>
      </c>
      <c r="G25" s="176"/>
      <c r="H25" s="176"/>
      <c r="I25" s="176"/>
      <c r="J25" s="176"/>
      <c r="M25" s="36"/>
    </row>
    <row r="26" spans="2:13" s="25" customFormat="1" ht="18.75" customHeight="1">
      <c r="B26" s="187"/>
      <c r="C26" s="184" t="s">
        <v>69</v>
      </c>
      <c r="D26" s="187" t="s">
        <v>51</v>
      </c>
      <c r="E26" s="187" t="s">
        <v>52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28</v>
      </c>
      <c r="L26" s="38"/>
      <c r="M26" s="36"/>
    </row>
    <row r="27" spans="2:13" s="25" customFormat="1" ht="42" customHeight="1">
      <c r="B27" s="188"/>
      <c r="C27" s="185"/>
      <c r="D27" s="188"/>
      <c r="E27" s="188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53</v>
      </c>
      <c r="L27" s="38"/>
      <c r="M27" s="36"/>
    </row>
    <row r="28" spans="2:13" s="25" customFormat="1" ht="25.5">
      <c r="B28" s="189"/>
      <c r="C28" s="186"/>
      <c r="D28" s="189"/>
      <c r="E28" s="189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54</v>
      </c>
      <c r="L28" s="38"/>
      <c r="M28" s="36"/>
    </row>
    <row r="29" spans="2:13" ht="26.25" customHeight="1">
      <c r="B29" s="177" t="s">
        <v>70</v>
      </c>
      <c r="C29" s="177"/>
      <c r="D29" s="177"/>
      <c r="E29" s="177"/>
      <c r="F29" s="177"/>
      <c r="G29" s="177"/>
      <c r="H29" s="177"/>
      <c r="I29" s="177"/>
      <c r="J29" s="177"/>
      <c r="M29" s="36"/>
    </row>
    <row r="30" spans="2:13" ht="49.5" customHeight="1">
      <c r="B30" s="37" t="s">
        <v>71</v>
      </c>
      <c r="C30" s="34" t="s">
        <v>72</v>
      </c>
      <c r="D30" s="33" t="s">
        <v>73</v>
      </c>
      <c r="E30" s="33" t="s">
        <v>52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53</v>
      </c>
      <c r="M30" s="36"/>
    </row>
    <row r="31" spans="2:13" ht="49.5" customHeight="1">
      <c r="B31" s="33"/>
      <c r="C31" s="34" t="s">
        <v>74</v>
      </c>
      <c r="D31" s="33" t="s">
        <v>73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53</v>
      </c>
      <c r="M31" s="36"/>
    </row>
    <row r="32" spans="2:13" ht="12.75" customHeight="1">
      <c r="B32" s="190"/>
      <c r="C32" s="184" t="s">
        <v>75</v>
      </c>
      <c r="D32" s="193"/>
      <c r="E32" s="187" t="s">
        <v>52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28</v>
      </c>
      <c r="L32" s="40"/>
      <c r="M32" s="36"/>
    </row>
    <row r="33" spans="2:13" ht="38.25" customHeight="1">
      <c r="B33" s="191"/>
      <c r="C33" s="185"/>
      <c r="D33" s="194"/>
      <c r="E33" s="188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53</v>
      </c>
      <c r="L33" s="40"/>
      <c r="M33" s="36"/>
    </row>
    <row r="34" spans="2:13" ht="26.25" customHeight="1">
      <c r="B34" s="192"/>
      <c r="C34" s="186"/>
      <c r="D34" s="195"/>
      <c r="E34" s="189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54</v>
      </c>
      <c r="L34" s="40"/>
      <c r="M34" s="36"/>
    </row>
    <row r="35" spans="2:13" ht="24.75" customHeight="1">
      <c r="B35" s="178" t="s">
        <v>76</v>
      </c>
      <c r="C35" s="179"/>
      <c r="D35" s="179"/>
      <c r="E35" s="179"/>
      <c r="F35" s="179"/>
      <c r="G35" s="179"/>
      <c r="H35" s="179"/>
      <c r="I35" s="179"/>
      <c r="J35" s="180"/>
      <c r="M35" s="36"/>
    </row>
    <row r="36" spans="2:13" ht="27" customHeight="1">
      <c r="B36" s="178" t="s">
        <v>77</v>
      </c>
      <c r="C36" s="179"/>
      <c r="D36" s="179"/>
      <c r="E36" s="179"/>
      <c r="F36" s="179"/>
      <c r="G36" s="179"/>
      <c r="H36" s="179"/>
      <c r="I36" s="179"/>
      <c r="J36" s="180"/>
      <c r="M36" s="36"/>
    </row>
    <row r="37" spans="2:13" ht="25.5" customHeight="1">
      <c r="B37" s="33" t="s">
        <v>78</v>
      </c>
      <c r="C37" s="34" t="s">
        <v>79</v>
      </c>
      <c r="D37" s="33" t="s">
        <v>80</v>
      </c>
      <c r="E37" s="33" t="s">
        <v>52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54</v>
      </c>
      <c r="M37" s="36"/>
    </row>
    <row r="38" spans="2:13" ht="26.25" customHeight="1">
      <c r="B38" s="41"/>
      <c r="C38" s="34" t="s">
        <v>81</v>
      </c>
      <c r="D38" s="33" t="s">
        <v>80</v>
      </c>
      <c r="E38" s="33" t="s">
        <v>52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54</v>
      </c>
      <c r="M38" s="36"/>
    </row>
    <row r="39" spans="2:13" ht="27" customHeight="1">
      <c r="B39" s="41"/>
      <c r="C39" s="34" t="s">
        <v>82</v>
      </c>
      <c r="D39" s="33" t="s">
        <v>80</v>
      </c>
      <c r="E39" s="33" t="s">
        <v>52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54</v>
      </c>
      <c r="M39" s="36"/>
    </row>
    <row r="40" spans="2:13" ht="27" customHeight="1">
      <c r="B40" s="178" t="s">
        <v>83</v>
      </c>
      <c r="C40" s="179"/>
      <c r="D40" s="179"/>
      <c r="E40" s="179"/>
      <c r="F40" s="179"/>
      <c r="G40" s="179"/>
      <c r="H40" s="179"/>
      <c r="I40" s="179"/>
      <c r="J40" s="180"/>
      <c r="M40" s="36"/>
    </row>
    <row r="41" spans="2:13" ht="26.25" customHeight="1">
      <c r="B41" s="178" t="s">
        <v>84</v>
      </c>
      <c r="C41" s="179"/>
      <c r="D41" s="179"/>
      <c r="E41" s="179"/>
      <c r="F41" s="179"/>
      <c r="G41" s="179"/>
      <c r="H41" s="179"/>
      <c r="I41" s="179"/>
      <c r="J41" s="180"/>
      <c r="M41" s="36"/>
    </row>
    <row r="42" spans="2:13" ht="27.75" customHeight="1">
      <c r="B42" s="177" t="s">
        <v>85</v>
      </c>
      <c r="C42" s="177"/>
      <c r="D42" s="177"/>
      <c r="E42" s="177"/>
      <c r="F42" s="177"/>
      <c r="G42" s="177"/>
      <c r="H42" s="177"/>
      <c r="I42" s="177"/>
      <c r="J42" s="177"/>
      <c r="M42" s="36"/>
    </row>
    <row r="43" spans="2:13" ht="38.25">
      <c r="B43" s="37" t="s">
        <v>86</v>
      </c>
      <c r="C43" s="34" t="s">
        <v>87</v>
      </c>
      <c r="D43" s="33" t="s">
        <v>88</v>
      </c>
      <c r="E43" s="33" t="s">
        <v>52</v>
      </c>
      <c r="F43" s="176" t="s">
        <v>68</v>
      </c>
      <c r="G43" s="176"/>
      <c r="H43" s="176"/>
      <c r="I43" s="176"/>
      <c r="J43" s="176"/>
      <c r="M43" s="36"/>
    </row>
    <row r="44" spans="2:13" ht="38.25">
      <c r="B44" s="37" t="s">
        <v>89</v>
      </c>
      <c r="C44" s="34" t="s">
        <v>90</v>
      </c>
      <c r="D44" s="33" t="s">
        <v>88</v>
      </c>
      <c r="E44" s="33" t="s">
        <v>52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53</v>
      </c>
      <c r="M44" s="36"/>
    </row>
    <row r="45" spans="2:13" ht="38.25">
      <c r="B45" s="37" t="s">
        <v>91</v>
      </c>
      <c r="C45" s="34" t="s">
        <v>92</v>
      </c>
      <c r="D45" s="33" t="s">
        <v>88</v>
      </c>
      <c r="E45" s="33" t="s">
        <v>52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93</v>
      </c>
      <c r="M45" s="36"/>
    </row>
    <row r="46" spans="2:13" ht="51">
      <c r="B46" s="37" t="s">
        <v>94</v>
      </c>
      <c r="C46" s="34" t="s">
        <v>95</v>
      </c>
      <c r="D46" s="33" t="s">
        <v>88</v>
      </c>
      <c r="E46" s="33" t="s">
        <v>52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96</v>
      </c>
      <c r="M46" s="36"/>
    </row>
    <row r="47" spans="2:13" ht="12.75">
      <c r="B47" s="176"/>
      <c r="C47" s="184" t="s">
        <v>97</v>
      </c>
      <c r="D47" s="176" t="s">
        <v>88</v>
      </c>
      <c r="E47" s="176" t="s">
        <v>52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28</v>
      </c>
      <c r="L47" s="40"/>
      <c r="M47" s="36"/>
    </row>
    <row r="48" spans="2:13" ht="38.25">
      <c r="B48" s="176"/>
      <c r="C48" s="185"/>
      <c r="D48" s="176"/>
      <c r="E48" s="176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53</v>
      </c>
      <c r="L48" s="40"/>
      <c r="M48" s="36"/>
    </row>
    <row r="49" spans="2:13" ht="25.5">
      <c r="B49" s="176"/>
      <c r="C49" s="186"/>
      <c r="D49" s="176"/>
      <c r="E49" s="176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96</v>
      </c>
      <c r="L49" s="40"/>
      <c r="M49" s="36"/>
    </row>
    <row r="50" spans="2:13" ht="28.5" customHeight="1">
      <c r="B50" s="177" t="s">
        <v>98</v>
      </c>
      <c r="C50" s="177"/>
      <c r="D50" s="177"/>
      <c r="E50" s="177"/>
      <c r="F50" s="177"/>
      <c r="G50" s="177"/>
      <c r="H50" s="177"/>
      <c r="I50" s="177"/>
      <c r="J50" s="177"/>
      <c r="M50" s="36"/>
    </row>
    <row r="51" spans="2:13" ht="31.5" customHeight="1">
      <c r="B51" s="37" t="s">
        <v>99</v>
      </c>
      <c r="C51" s="34" t="s">
        <v>100</v>
      </c>
      <c r="D51" s="33" t="s">
        <v>88</v>
      </c>
      <c r="E51" s="33" t="s">
        <v>52</v>
      </c>
      <c r="F51" s="176" t="s">
        <v>68</v>
      </c>
      <c r="G51" s="176"/>
      <c r="H51" s="176"/>
      <c r="I51" s="176"/>
      <c r="J51" s="176"/>
      <c r="M51" s="36"/>
    </row>
    <row r="52" spans="2:13" ht="51">
      <c r="B52" s="37" t="s">
        <v>101</v>
      </c>
      <c r="C52" s="34" t="s">
        <v>102</v>
      </c>
      <c r="D52" s="33" t="s">
        <v>88</v>
      </c>
      <c r="E52" s="33" t="s">
        <v>52</v>
      </c>
      <c r="F52" s="176" t="s">
        <v>68</v>
      </c>
      <c r="G52" s="176"/>
      <c r="H52" s="176"/>
      <c r="I52" s="176"/>
      <c r="J52" s="176"/>
      <c r="M52" s="36"/>
    </row>
    <row r="53" spans="2:13" ht="15.75" customHeight="1">
      <c r="B53" s="196"/>
      <c r="C53" s="177" t="s">
        <v>103</v>
      </c>
      <c r="D53" s="176" t="s">
        <v>88</v>
      </c>
      <c r="E53" s="176" t="s">
        <v>52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28</v>
      </c>
      <c r="M53" s="36"/>
    </row>
    <row r="54" spans="2:13" ht="42" customHeight="1">
      <c r="B54" s="196"/>
      <c r="C54" s="177"/>
      <c r="D54" s="176"/>
      <c r="E54" s="176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53</v>
      </c>
      <c r="M54" s="36"/>
    </row>
    <row r="55" spans="2:13" ht="25.5">
      <c r="B55" s="196"/>
      <c r="C55" s="177"/>
      <c r="D55" s="176"/>
      <c r="E55" s="176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96</v>
      </c>
      <c r="M55" s="36"/>
    </row>
    <row r="56" spans="2:22" ht="34.5" customHeight="1">
      <c r="B56" s="197"/>
      <c r="C56" s="177" t="s">
        <v>104</v>
      </c>
      <c r="D56" s="196"/>
      <c r="E56" s="176" t="s">
        <v>52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28</v>
      </c>
      <c r="S56" s="42"/>
      <c r="T56" s="42"/>
      <c r="U56" s="42"/>
      <c r="V56" s="42"/>
    </row>
    <row r="57" spans="2:22" ht="44.25" customHeight="1">
      <c r="B57" s="197"/>
      <c r="C57" s="177"/>
      <c r="D57" s="196"/>
      <c r="E57" s="176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53</v>
      </c>
      <c r="S57" s="42"/>
      <c r="T57" s="42"/>
      <c r="U57" s="42"/>
      <c r="V57" s="42"/>
    </row>
    <row r="58" spans="2:22" ht="31.5" customHeight="1">
      <c r="B58" s="197"/>
      <c r="C58" s="177"/>
      <c r="D58" s="196"/>
      <c r="E58" s="176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96</v>
      </c>
      <c r="S58" s="42"/>
      <c r="T58" s="42"/>
      <c r="U58" s="42"/>
      <c r="V58" s="42"/>
    </row>
    <row r="59" spans="2:13" ht="13.5" customHeight="1">
      <c r="B59" s="43"/>
      <c r="C59" s="34" t="s">
        <v>105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196"/>
      <c r="C60" s="177" t="s">
        <v>106</v>
      </c>
      <c r="D60" s="196"/>
      <c r="E60" s="176" t="s">
        <v>52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28</v>
      </c>
      <c r="M60" s="36"/>
    </row>
    <row r="61" spans="2:13" ht="38.25">
      <c r="B61" s="196"/>
      <c r="C61" s="177"/>
      <c r="D61" s="196"/>
      <c r="E61" s="176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53</v>
      </c>
      <c r="M61" s="36"/>
    </row>
    <row r="62" spans="2:13" ht="25.5">
      <c r="B62" s="196"/>
      <c r="C62" s="177"/>
      <c r="D62" s="196"/>
      <c r="E62" s="176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96</v>
      </c>
      <c r="M62" s="36"/>
    </row>
    <row r="63" spans="2:13" ht="12.75">
      <c r="B63" s="193"/>
      <c r="C63" s="184" t="s">
        <v>107</v>
      </c>
      <c r="D63" s="193"/>
      <c r="E63" s="187" t="s">
        <v>52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28</v>
      </c>
      <c r="M63" s="36"/>
    </row>
    <row r="64" spans="2:13" ht="38.25">
      <c r="B64" s="194"/>
      <c r="C64" s="185"/>
      <c r="D64" s="194"/>
      <c r="E64" s="188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53</v>
      </c>
      <c r="M64" s="36"/>
    </row>
    <row r="65" spans="2:13" ht="25.5">
      <c r="B65" s="195"/>
      <c r="C65" s="186"/>
      <c r="D65" s="195"/>
      <c r="E65" s="189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96</v>
      </c>
      <c r="M65" s="36"/>
    </row>
    <row r="66" spans="2:13" ht="38.25">
      <c r="B66" s="41"/>
      <c r="C66" s="34" t="s">
        <v>108</v>
      </c>
      <c r="D66" s="41"/>
      <c r="E66" s="33" t="s">
        <v>52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53</v>
      </c>
      <c r="M66" s="36"/>
    </row>
    <row r="67" spans="2:13" ht="25.5">
      <c r="B67" s="41"/>
      <c r="C67" s="34" t="s">
        <v>109</v>
      </c>
      <c r="D67" s="41"/>
      <c r="E67" s="33" t="s">
        <v>52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96</v>
      </c>
      <c r="M67" s="36"/>
    </row>
  </sheetData>
  <sheetProtection/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171"/>
      <c r="G1" s="171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71" t="s">
        <v>27</v>
      </c>
      <c r="O2" s="171"/>
      <c r="P2" s="171"/>
      <c r="Q2" s="171"/>
      <c r="R2" s="171"/>
    </row>
    <row r="3" spans="1:31" ht="26.25" customHeight="1">
      <c r="A3" s="23"/>
      <c r="N3" s="172" t="s">
        <v>30</v>
      </c>
      <c r="O3" s="172"/>
      <c r="P3" s="172"/>
      <c r="Q3" s="172"/>
      <c r="R3" s="172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70" t="s">
        <v>5</v>
      </c>
      <c r="B5" s="173" t="s">
        <v>23</v>
      </c>
      <c r="C5" s="173" t="s">
        <v>19</v>
      </c>
      <c r="D5" s="173" t="s">
        <v>20</v>
      </c>
      <c r="E5" s="169" t="s">
        <v>15</v>
      </c>
      <c r="F5" s="169"/>
      <c r="G5" s="169" t="s">
        <v>0</v>
      </c>
      <c r="H5" s="169"/>
      <c r="I5" s="169" t="s">
        <v>1</v>
      </c>
      <c r="J5" s="169"/>
      <c r="K5" s="169" t="s">
        <v>2</v>
      </c>
      <c r="L5" s="169"/>
      <c r="M5" s="169" t="s">
        <v>3</v>
      </c>
      <c r="N5" s="169"/>
      <c r="O5" s="169" t="s">
        <v>4</v>
      </c>
      <c r="P5" s="169"/>
      <c r="Q5" s="169" t="s">
        <v>6</v>
      </c>
      <c r="R5" s="169"/>
      <c r="S5" s="169" t="s">
        <v>7</v>
      </c>
      <c r="T5" s="169"/>
      <c r="U5" s="169" t="s">
        <v>8</v>
      </c>
      <c r="V5" s="169"/>
      <c r="W5" s="169" t="s">
        <v>9</v>
      </c>
      <c r="X5" s="169"/>
      <c r="Y5" s="169" t="s">
        <v>10</v>
      </c>
      <c r="Z5" s="169"/>
      <c r="AA5" s="169" t="s">
        <v>11</v>
      </c>
      <c r="AB5" s="169"/>
      <c r="AC5" s="169" t="s">
        <v>12</v>
      </c>
      <c r="AD5" s="169"/>
      <c r="AE5" s="170" t="s">
        <v>21</v>
      </c>
      <c r="AG5" s="76"/>
      <c r="AH5" s="76"/>
    </row>
    <row r="6" spans="1:34" s="13" customFormat="1" ht="84" customHeight="1">
      <c r="A6" s="170"/>
      <c r="B6" s="174"/>
      <c r="C6" s="174"/>
      <c r="D6" s="174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70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31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111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112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28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113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28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114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28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115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28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116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28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117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28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118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28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119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120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28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121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122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123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28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124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125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126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28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127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28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128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28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129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28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130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131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28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132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28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29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133</v>
      </c>
      <c r="Y75" s="66"/>
      <c r="Z75" s="66"/>
      <c r="AB75" s="53" t="s">
        <v>134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135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136</v>
      </c>
      <c r="T78" s="1"/>
      <c r="U78" s="1"/>
      <c r="V78" s="1"/>
      <c r="W78" s="1"/>
      <c r="X78" s="1"/>
      <c r="Y78" s="65"/>
      <c r="Z78" s="65"/>
      <c r="AA78" s="1"/>
      <c r="AB78" s="53" t="s">
        <v>137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138</v>
      </c>
      <c r="Y81" s="66"/>
      <c r="Z81" s="66"/>
      <c r="AB81" s="53" t="s">
        <v>139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140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141</v>
      </c>
      <c r="Y84" s="66"/>
      <c r="Z84" s="66"/>
      <c r="AB84" s="53" t="s">
        <v>142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144</v>
      </c>
      <c r="W87" s="63" t="s">
        <v>143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171"/>
      <c r="G1" s="171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71" t="s">
        <v>27</v>
      </c>
      <c r="O2" s="171"/>
      <c r="P2" s="171"/>
      <c r="Q2" s="171"/>
      <c r="R2" s="171"/>
    </row>
    <row r="3" spans="1:31" ht="26.25" customHeight="1">
      <c r="A3" s="23"/>
      <c r="N3" s="172" t="s">
        <v>30</v>
      </c>
      <c r="O3" s="172"/>
      <c r="P3" s="172"/>
      <c r="Q3" s="172"/>
      <c r="R3" s="172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70" t="s">
        <v>5</v>
      </c>
      <c r="B5" s="173" t="s">
        <v>23</v>
      </c>
      <c r="C5" s="173" t="s">
        <v>19</v>
      </c>
      <c r="D5" s="173" t="s">
        <v>20</v>
      </c>
      <c r="E5" s="169" t="s">
        <v>15</v>
      </c>
      <c r="F5" s="169"/>
      <c r="G5" s="169" t="s">
        <v>0</v>
      </c>
      <c r="H5" s="169"/>
      <c r="I5" s="169" t="s">
        <v>1</v>
      </c>
      <c r="J5" s="169"/>
      <c r="K5" s="169" t="s">
        <v>2</v>
      </c>
      <c r="L5" s="169"/>
      <c r="M5" s="169" t="s">
        <v>3</v>
      </c>
      <c r="N5" s="169"/>
      <c r="O5" s="169" t="s">
        <v>4</v>
      </c>
      <c r="P5" s="169"/>
      <c r="Q5" s="169" t="s">
        <v>6</v>
      </c>
      <c r="R5" s="169"/>
      <c r="S5" s="169" t="s">
        <v>7</v>
      </c>
      <c r="T5" s="169"/>
      <c r="U5" s="169" t="s">
        <v>8</v>
      </c>
      <c r="V5" s="169"/>
      <c r="W5" s="169" t="s">
        <v>9</v>
      </c>
      <c r="X5" s="169"/>
      <c r="Y5" s="169" t="s">
        <v>10</v>
      </c>
      <c r="Z5" s="169"/>
      <c r="AA5" s="169" t="s">
        <v>11</v>
      </c>
      <c r="AB5" s="169"/>
      <c r="AC5" s="169" t="s">
        <v>12</v>
      </c>
      <c r="AD5" s="169"/>
      <c r="AE5" s="170" t="s">
        <v>21</v>
      </c>
    </row>
    <row r="6" spans="1:31" s="13" customFormat="1" ht="84" customHeight="1">
      <c r="A6" s="170"/>
      <c r="B6" s="174"/>
      <c r="C6" s="174"/>
      <c r="D6" s="174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70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31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111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112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28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113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28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114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28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115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28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116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28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117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28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118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28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119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120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28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122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123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28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125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126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28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127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28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128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28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129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28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130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131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28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132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28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29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133</v>
      </c>
      <c r="Y75" s="66"/>
      <c r="Z75" s="66"/>
      <c r="AB75" s="53" t="s">
        <v>134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135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136</v>
      </c>
      <c r="T78" s="1"/>
      <c r="U78" s="1"/>
      <c r="V78" s="1"/>
      <c r="W78" s="1"/>
      <c r="X78" s="1"/>
      <c r="Y78" s="65"/>
      <c r="Z78" s="65"/>
      <c r="AA78" s="1"/>
      <c r="AB78" s="53" t="s">
        <v>137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138</v>
      </c>
      <c r="Y81" s="66"/>
      <c r="Z81" s="66"/>
      <c r="AB81" s="53" t="s">
        <v>139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140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141</v>
      </c>
      <c r="Y84" s="66"/>
      <c r="Z84" s="66"/>
      <c r="AB84" s="53" t="s">
        <v>142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144</v>
      </c>
      <c r="W87" s="63" t="s">
        <v>143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Мартынова Снежана Владимировна</cp:lastModifiedBy>
  <cp:lastPrinted>2015-02-03T05:14:40Z</cp:lastPrinted>
  <dcterms:created xsi:type="dcterms:W3CDTF">1996-10-08T23:32:33Z</dcterms:created>
  <dcterms:modified xsi:type="dcterms:W3CDTF">2015-04-06T07:04:01Z</dcterms:modified>
  <cp:category/>
  <cp:version/>
  <cp:contentType/>
  <cp:contentStatus/>
</cp:coreProperties>
</file>